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eshedm-my.sharepoint.com/personal/pniot_eta_org_il/Documents/KABLANIM 1000-9999/אלעד_ הגרלה 2416_ אלקטרה השקעות בעמ/eta/"/>
    </mc:Choice>
  </mc:AlternateContent>
  <xr:revisionPtr revIDLastSave="243" documentId="8_{359A1A2C-2623-4063-ACD4-2EAD3E626E75}" xr6:coauthVersionLast="47" xr6:coauthVersionMax="47" xr10:uidLastSave="{D538CB72-6477-47EC-932B-EC97F548BE90}"/>
  <bookViews>
    <workbookView xWindow="-28920" yWindow="-120" windowWidth="29040" windowHeight="15720" xr2:uid="{00000000-000D-0000-FFFF-FFFF00000000}"/>
  </bookViews>
  <sheets>
    <sheet name="מחיר מטרה" sheetId="1" r:id="rId1"/>
    <sheet name="הנחיות למילוי נספח ג4" sheetId="2" r:id="rId2"/>
    <sheet name="יחס יח&quot;ד בבניניים" sheetId="3" r:id="rId3"/>
  </sheets>
  <externalReferences>
    <externalReference r:id="rId4"/>
    <externalReference r:id="rId5"/>
  </externalReferences>
  <definedNames>
    <definedName name="_xlnm._FilterDatabase" localSheetId="0" hidden="1">'מחיר מטרה'!$A$14:$X$255</definedName>
    <definedName name="_Hlk87367373" localSheetId="1">'הנחיות למילוי נספח ג4'!$F$11</definedName>
    <definedName name="_Hlk88045932" localSheetId="1">'הנחיות למילוי נספח ג4'!$F$8</definedName>
    <definedName name="_Hlk88045951" localSheetId="1">'הנחיות למילוי נספח ג4'!$F$10</definedName>
    <definedName name="_xlnm.Print_Area" localSheetId="0">'מחיר מטרה'!$A$1:$AD$266</definedName>
    <definedName name="גינות" localSheetId="0">[1]!טבלה9[#All]</definedName>
    <definedName name="חניות_מחסנים_101_1">#REF!</definedName>
    <definedName name="חניות_מחסנים_101_2">#REF!</definedName>
    <definedName name="טיפוס_A">[1]!Table2[#All]</definedName>
    <definedName name="טיפוסי_דירות" localSheetId="0">[1]!טבלה2[#All]</definedName>
    <definedName name="מרפסות_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1" i="1" l="1"/>
  <c r="J185" i="1"/>
  <c r="J161" i="1"/>
  <c r="J15" i="1"/>
  <c r="J75" i="1" l="1"/>
  <c r="J45" i="1"/>
  <c r="J44" i="1"/>
  <c r="J20" i="1"/>
  <c r="K157" i="1" l="1"/>
  <c r="Z158" i="1"/>
  <c r="K158" i="1"/>
  <c r="Z138" i="1"/>
  <c r="K252" i="1" l="1"/>
  <c r="K251" i="1"/>
  <c r="K250" i="1"/>
  <c r="K249" i="1"/>
  <c r="K248" i="1"/>
  <c r="K241" i="1"/>
  <c r="K242" i="1"/>
  <c r="K138" i="1"/>
  <c r="K65" i="1"/>
  <c r="K64" i="1"/>
  <c r="B8" i="1"/>
  <c r="Z209" i="1"/>
  <c r="Z210" i="1"/>
  <c r="K209" i="1"/>
  <c r="Z192" i="1"/>
  <c r="G159" i="1"/>
  <c r="H253" i="1"/>
  <c r="I253" i="1" s="1"/>
  <c r="H252" i="1"/>
  <c r="I252" i="1" s="1"/>
  <c r="H251" i="1"/>
  <c r="I251" i="1" s="1"/>
  <c r="H188" i="1"/>
  <c r="H187" i="1"/>
  <c r="I187" i="1" s="1"/>
  <c r="H186" i="1"/>
  <c r="I186" i="1" s="1"/>
  <c r="H185" i="1"/>
  <c r="I185" i="1" s="1"/>
  <c r="H184" i="1"/>
  <c r="I184" i="1" s="1"/>
  <c r="H183" i="1"/>
  <c r="I183" i="1" s="1"/>
  <c r="H182" i="1"/>
  <c r="I182" i="1" s="1"/>
  <c r="H181" i="1"/>
  <c r="I181" i="1" s="1"/>
  <c r="H180" i="1"/>
  <c r="I180" i="1" s="1"/>
  <c r="H179" i="1"/>
  <c r="I179" i="1" s="1"/>
  <c r="H178" i="1"/>
  <c r="I178" i="1" s="1"/>
  <c r="H177" i="1"/>
  <c r="I177" i="1" s="1"/>
  <c r="H176" i="1"/>
  <c r="I176" i="1" s="1"/>
  <c r="H175" i="1"/>
  <c r="I175" i="1" s="1"/>
  <c r="H174" i="1"/>
  <c r="I174" i="1" s="1"/>
  <c r="H173" i="1"/>
  <c r="I173" i="1" s="1"/>
  <c r="H172" i="1"/>
  <c r="I172" i="1" s="1"/>
  <c r="H171" i="1"/>
  <c r="I171" i="1" s="1"/>
  <c r="H170" i="1"/>
  <c r="I170" i="1" s="1"/>
  <c r="H169" i="1"/>
  <c r="I169" i="1" s="1"/>
  <c r="H168" i="1"/>
  <c r="I168" i="1" s="1"/>
  <c r="H167" i="1"/>
  <c r="I167" i="1" s="1"/>
  <c r="H166" i="1"/>
  <c r="I166" i="1" s="1"/>
  <c r="H165" i="1"/>
  <c r="I165" i="1" s="1"/>
  <c r="H164" i="1"/>
  <c r="I164" i="1" s="1"/>
  <c r="H163" i="1"/>
  <c r="I163" i="1" s="1"/>
  <c r="H162" i="1"/>
  <c r="I162" i="1" s="1"/>
  <c r="H161" i="1"/>
  <c r="H160" i="1"/>
  <c r="I160" i="1" s="1"/>
  <c r="H158" i="1"/>
  <c r="I158" i="1" s="1"/>
  <c r="H157" i="1"/>
  <c r="I157" i="1" s="1"/>
  <c r="H156" i="1"/>
  <c r="I156" i="1" s="1"/>
  <c r="H155" i="1"/>
  <c r="I155" i="1" s="1"/>
  <c r="H154" i="1"/>
  <c r="I154" i="1" s="1"/>
  <c r="H153" i="1"/>
  <c r="I153" i="1" s="1"/>
  <c r="H152" i="1"/>
  <c r="I152" i="1" s="1"/>
  <c r="H151" i="1"/>
  <c r="I151" i="1" s="1"/>
  <c r="H150" i="1"/>
  <c r="I150" i="1" s="1"/>
  <c r="H149" i="1"/>
  <c r="I149" i="1" s="1"/>
  <c r="H148" i="1"/>
  <c r="I148" i="1" s="1"/>
  <c r="H147" i="1"/>
  <c r="I147" i="1" s="1"/>
  <c r="H146" i="1"/>
  <c r="I146" i="1" s="1"/>
  <c r="H145" i="1"/>
  <c r="I145" i="1" s="1"/>
  <c r="H144" i="1"/>
  <c r="I144" i="1" s="1"/>
  <c r="H143" i="1"/>
  <c r="I143" i="1" s="1"/>
  <c r="H142" i="1"/>
  <c r="I142" i="1" s="1"/>
  <c r="H141" i="1"/>
  <c r="I141" i="1" s="1"/>
  <c r="H140" i="1"/>
  <c r="I140" i="1" s="1"/>
  <c r="H139" i="1"/>
  <c r="I139" i="1" s="1"/>
  <c r="H138" i="1"/>
  <c r="I138" i="1" s="1"/>
  <c r="H137" i="1"/>
  <c r="I137" i="1" s="1"/>
  <c r="H136" i="1"/>
  <c r="I136" i="1" s="1"/>
  <c r="H135" i="1"/>
  <c r="I135" i="1" s="1"/>
  <c r="H134" i="1"/>
  <c r="I134" i="1" s="1"/>
  <c r="H133" i="1"/>
  <c r="I133" i="1" s="1"/>
  <c r="H132" i="1"/>
  <c r="I132" i="1" s="1"/>
  <c r="H131" i="1"/>
  <c r="I131" i="1" s="1"/>
  <c r="H129" i="1"/>
  <c r="I129" i="1" s="1"/>
  <c r="H128" i="1"/>
  <c r="I128" i="1" s="1"/>
  <c r="H127" i="1"/>
  <c r="I127" i="1" s="1"/>
  <c r="H126" i="1"/>
  <c r="I126" i="1" s="1"/>
  <c r="H125" i="1"/>
  <c r="I125" i="1" s="1"/>
  <c r="H124" i="1"/>
  <c r="I124" i="1" s="1"/>
  <c r="H123" i="1"/>
  <c r="I123" i="1" s="1"/>
  <c r="H122" i="1"/>
  <c r="I122" i="1" s="1"/>
  <c r="H121" i="1"/>
  <c r="I121" i="1" s="1"/>
  <c r="H120" i="1"/>
  <c r="I120" i="1" s="1"/>
  <c r="H119" i="1"/>
  <c r="I119" i="1" s="1"/>
  <c r="H118" i="1"/>
  <c r="I118" i="1" s="1"/>
  <c r="H117" i="1"/>
  <c r="I117" i="1" s="1"/>
  <c r="H116" i="1"/>
  <c r="I116" i="1" s="1"/>
  <c r="H115" i="1"/>
  <c r="I115" i="1" s="1"/>
  <c r="H114" i="1"/>
  <c r="I114" i="1" s="1"/>
  <c r="H113" i="1"/>
  <c r="I113" i="1" s="1"/>
  <c r="H112" i="1"/>
  <c r="I112" i="1" s="1"/>
  <c r="H111" i="1"/>
  <c r="I111" i="1" s="1"/>
  <c r="H110" i="1"/>
  <c r="I110" i="1" s="1"/>
  <c r="H109" i="1"/>
  <c r="I109" i="1" s="1"/>
  <c r="H108" i="1"/>
  <c r="I108" i="1" s="1"/>
  <c r="H107" i="1"/>
  <c r="I107" i="1" s="1"/>
  <c r="H106" i="1"/>
  <c r="I106" i="1" s="1"/>
  <c r="H105" i="1"/>
  <c r="I105" i="1" s="1"/>
  <c r="H104" i="1"/>
  <c r="I104" i="1" s="1"/>
  <c r="H103" i="1"/>
  <c r="I103" i="1" s="1"/>
  <c r="H102" i="1"/>
  <c r="I102" i="1" s="1"/>
  <c r="H101" i="1"/>
  <c r="H100" i="1"/>
  <c r="I100" i="1" s="1"/>
  <c r="H99" i="1"/>
  <c r="I99" i="1" s="1"/>
  <c r="H98" i="1"/>
  <c r="I98" i="1" s="1"/>
  <c r="H97" i="1"/>
  <c r="I97" i="1" s="1"/>
  <c r="H96" i="1"/>
  <c r="I96" i="1" s="1"/>
  <c r="H95" i="1"/>
  <c r="I95" i="1" s="1"/>
  <c r="H94" i="1"/>
  <c r="I94" i="1" s="1"/>
  <c r="H93" i="1"/>
  <c r="I93" i="1" s="1"/>
  <c r="H92" i="1"/>
  <c r="I92" i="1" s="1"/>
  <c r="H91" i="1"/>
  <c r="I91" i="1" s="1"/>
  <c r="H90" i="1"/>
  <c r="I90" i="1" s="1"/>
  <c r="H89" i="1"/>
  <c r="I89" i="1" s="1"/>
  <c r="H88" i="1"/>
  <c r="I88" i="1" s="1"/>
  <c r="H87" i="1"/>
  <c r="I87" i="1" s="1"/>
  <c r="H86" i="1"/>
  <c r="I86" i="1" s="1"/>
  <c r="H85" i="1"/>
  <c r="I85" i="1" s="1"/>
  <c r="H84" i="1"/>
  <c r="I84" i="1" s="1"/>
  <c r="H83" i="1"/>
  <c r="I83" i="1" s="1"/>
  <c r="H82" i="1"/>
  <c r="I82" i="1" s="1"/>
  <c r="H81" i="1"/>
  <c r="I81" i="1" s="1"/>
  <c r="H80" i="1"/>
  <c r="I80" i="1" s="1"/>
  <c r="H79" i="1"/>
  <c r="I79" i="1" s="1"/>
  <c r="H78" i="1"/>
  <c r="I78" i="1" s="1"/>
  <c r="H77" i="1"/>
  <c r="I77" i="1" s="1"/>
  <c r="H76" i="1"/>
  <c r="I76" i="1" s="1"/>
  <c r="H75" i="1"/>
  <c r="I75" i="1" s="1"/>
  <c r="H74" i="1"/>
  <c r="I74" i="1" s="1"/>
  <c r="H73" i="1"/>
  <c r="I73" i="1" s="1"/>
  <c r="H72" i="1"/>
  <c r="H71" i="1"/>
  <c r="I71" i="1" s="1"/>
  <c r="H70" i="1"/>
  <c r="I70" i="1" s="1"/>
  <c r="H69" i="1"/>
  <c r="I69" i="1" s="1"/>
  <c r="H68" i="1"/>
  <c r="I68" i="1" s="1"/>
  <c r="H67" i="1"/>
  <c r="I67" i="1" s="1"/>
  <c r="H66" i="1"/>
  <c r="I66" i="1" s="1"/>
  <c r="H65" i="1"/>
  <c r="I65" i="1" s="1"/>
  <c r="H64" i="1"/>
  <c r="I64" i="1" s="1"/>
  <c r="H63" i="1"/>
  <c r="I63" i="1" s="1"/>
  <c r="H62" i="1"/>
  <c r="I62" i="1" s="1"/>
  <c r="H61" i="1"/>
  <c r="I61"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H16" i="1"/>
  <c r="I16" i="1" s="1"/>
  <c r="H15" i="1"/>
  <c r="I15" i="1" s="1"/>
  <c r="Q252" i="1" l="1"/>
  <c r="M252" i="1"/>
  <c r="Q251" i="1"/>
  <c r="M251" i="1"/>
  <c r="N255" i="1" l="1"/>
  <c r="N188" i="1"/>
  <c r="N159" i="1"/>
  <c r="N101" i="1"/>
  <c r="N72" i="1"/>
  <c r="R251" i="1"/>
  <c r="R252" i="1"/>
  <c r="O252" i="1" l="1"/>
  <c r="P252" i="1" s="1"/>
  <c r="O251" i="1"/>
  <c r="P251" i="1" s="1"/>
  <c r="Z185" i="1" l="1"/>
  <c r="AF185" i="1"/>
  <c r="Z219" i="1"/>
  <c r="Z218" i="1"/>
  <c r="K245" i="1" l="1"/>
  <c r="K244" i="1"/>
  <c r="K243" i="1"/>
  <c r="K254" i="1"/>
  <c r="K253" i="1"/>
  <c r="K246" i="1"/>
  <c r="K247" i="1"/>
  <c r="K221" i="1"/>
  <c r="K222" i="1"/>
  <c r="K223" i="1"/>
  <c r="K224" i="1"/>
  <c r="K225" i="1"/>
  <c r="K226" i="1"/>
  <c r="K227" i="1"/>
  <c r="K228" i="1"/>
  <c r="K229" i="1"/>
  <c r="K230" i="1"/>
  <c r="K231" i="1"/>
  <c r="K232" i="1"/>
  <c r="K233" i="1"/>
  <c r="K234" i="1"/>
  <c r="K235" i="1"/>
  <c r="K236" i="1"/>
  <c r="K237" i="1"/>
  <c r="K238" i="1"/>
  <c r="K239" i="1"/>
  <c r="K240" i="1"/>
  <c r="K220" i="1"/>
  <c r="K219" i="1"/>
  <c r="K218" i="1"/>
  <c r="K211" i="1"/>
  <c r="K212" i="1"/>
  <c r="K213" i="1"/>
  <c r="K214" i="1"/>
  <c r="K215" i="1"/>
  <c r="K216" i="1"/>
  <c r="K217" i="1"/>
  <c r="K194" i="1"/>
  <c r="K195" i="1"/>
  <c r="K196" i="1"/>
  <c r="K197" i="1"/>
  <c r="K198" i="1"/>
  <c r="K199" i="1"/>
  <c r="K200" i="1"/>
  <c r="K201" i="1"/>
  <c r="K202" i="1"/>
  <c r="K203" i="1"/>
  <c r="K204" i="1"/>
  <c r="K205" i="1"/>
  <c r="K206" i="1"/>
  <c r="K207" i="1"/>
  <c r="K208" i="1"/>
  <c r="K193" i="1"/>
  <c r="K192" i="1"/>
  <c r="K191" i="1"/>
  <c r="K190" i="1"/>
  <c r="K189" i="1"/>
  <c r="K187" i="1"/>
  <c r="K186" i="1"/>
  <c r="K185" i="1"/>
  <c r="K184" i="1"/>
  <c r="K183" i="1"/>
  <c r="K182" i="1"/>
  <c r="K181" i="1"/>
  <c r="K180" i="1"/>
  <c r="K179" i="1"/>
  <c r="K176" i="1"/>
  <c r="K177" i="1"/>
  <c r="K178" i="1"/>
  <c r="K175" i="1"/>
  <c r="K174" i="1"/>
  <c r="K164" i="1"/>
  <c r="K165" i="1"/>
  <c r="K166" i="1"/>
  <c r="K167" i="1"/>
  <c r="K168" i="1"/>
  <c r="K169" i="1"/>
  <c r="K170" i="1"/>
  <c r="K171" i="1"/>
  <c r="K172" i="1"/>
  <c r="K173" i="1"/>
  <c r="K163" i="1"/>
  <c r="K162" i="1"/>
  <c r="K161" i="1"/>
  <c r="K160" i="1"/>
  <c r="K140" i="1"/>
  <c r="K141" i="1"/>
  <c r="K142" i="1"/>
  <c r="K143" i="1"/>
  <c r="K144" i="1"/>
  <c r="K145" i="1"/>
  <c r="K146" i="1"/>
  <c r="K147" i="1"/>
  <c r="K148" i="1"/>
  <c r="K149" i="1"/>
  <c r="K150" i="1"/>
  <c r="K151" i="1"/>
  <c r="K152" i="1"/>
  <c r="K153" i="1"/>
  <c r="K154" i="1"/>
  <c r="K155" i="1"/>
  <c r="K156" i="1"/>
  <c r="K139" i="1"/>
  <c r="K132" i="1"/>
  <c r="K133" i="1"/>
  <c r="K134" i="1"/>
  <c r="K135" i="1"/>
  <c r="K136" i="1"/>
  <c r="K137" i="1"/>
  <c r="K131" i="1"/>
  <c r="K123" i="1"/>
  <c r="K124" i="1"/>
  <c r="K125" i="1"/>
  <c r="K126" i="1"/>
  <c r="K127" i="1"/>
  <c r="K128" i="1"/>
  <c r="K129" i="1"/>
  <c r="K122" i="1"/>
  <c r="K121" i="1"/>
  <c r="K119" i="1"/>
  <c r="K120" i="1"/>
  <c r="K118" i="1"/>
  <c r="K117" i="1"/>
  <c r="K103" i="1"/>
  <c r="K104" i="1"/>
  <c r="K105" i="1"/>
  <c r="K106" i="1"/>
  <c r="K107" i="1"/>
  <c r="K108" i="1"/>
  <c r="K109" i="1"/>
  <c r="K110" i="1"/>
  <c r="K111" i="1"/>
  <c r="K112" i="1"/>
  <c r="K113" i="1"/>
  <c r="K114" i="1"/>
  <c r="K115" i="1"/>
  <c r="K116" i="1"/>
  <c r="K102" i="1"/>
  <c r="K100" i="1"/>
  <c r="K99" i="1"/>
  <c r="K97" i="1"/>
  <c r="K98" i="1"/>
  <c r="K96" i="1"/>
  <c r="K95" i="1"/>
  <c r="K74" i="1"/>
  <c r="K75" i="1"/>
  <c r="K76" i="1"/>
  <c r="K77" i="1"/>
  <c r="K78" i="1"/>
  <c r="K79" i="1"/>
  <c r="K80" i="1"/>
  <c r="K81" i="1"/>
  <c r="K82" i="1"/>
  <c r="K83" i="1"/>
  <c r="K84" i="1"/>
  <c r="K85" i="1"/>
  <c r="K86" i="1"/>
  <c r="K87" i="1"/>
  <c r="K88" i="1"/>
  <c r="K89" i="1"/>
  <c r="K90" i="1"/>
  <c r="K91" i="1"/>
  <c r="K92" i="1"/>
  <c r="K93" i="1"/>
  <c r="K94" i="1"/>
  <c r="K73" i="1"/>
  <c r="K71" i="1"/>
  <c r="K70" i="1"/>
  <c r="K51" i="1"/>
  <c r="K52" i="1"/>
  <c r="K53" i="1"/>
  <c r="K54" i="1"/>
  <c r="K55" i="1"/>
  <c r="K56" i="1"/>
  <c r="K57" i="1"/>
  <c r="K58" i="1"/>
  <c r="K59" i="1"/>
  <c r="K60" i="1"/>
  <c r="K61" i="1"/>
  <c r="K62" i="1"/>
  <c r="K63" i="1"/>
  <c r="K66" i="1"/>
  <c r="K67" i="1"/>
  <c r="K68" i="1"/>
  <c r="K69" i="1"/>
  <c r="K50" i="1"/>
  <c r="K49" i="1"/>
  <c r="K45" i="1"/>
  <c r="K46" i="1"/>
  <c r="K47" i="1"/>
  <c r="K48" i="1"/>
  <c r="K44" i="1"/>
  <c r="K16" i="1"/>
  <c r="K17" i="1"/>
  <c r="K18" i="1"/>
  <c r="K19" i="1"/>
  <c r="K20" i="1"/>
  <c r="K21" i="1"/>
  <c r="K22" i="1"/>
  <c r="K23" i="1"/>
  <c r="K24" i="1"/>
  <c r="K25" i="1"/>
  <c r="K26" i="1"/>
  <c r="K27" i="1"/>
  <c r="K28" i="1"/>
  <c r="K29" i="1"/>
  <c r="K30" i="1"/>
  <c r="K31" i="1"/>
  <c r="K32" i="1"/>
  <c r="K33" i="1"/>
  <c r="K34" i="1"/>
  <c r="K35" i="1"/>
  <c r="K36" i="1"/>
  <c r="K37" i="1"/>
  <c r="K38" i="1"/>
  <c r="K39" i="1"/>
  <c r="K40" i="1"/>
  <c r="K41" i="1"/>
  <c r="K42" i="1"/>
  <c r="K15" i="1"/>
  <c r="Z246" i="1"/>
  <c r="Z247" i="1"/>
  <c r="Z224" i="1"/>
  <c r="Z225" i="1"/>
  <c r="Z226" i="1"/>
  <c r="Z227" i="1"/>
  <c r="Z228" i="1"/>
  <c r="Z229" i="1"/>
  <c r="Z230" i="1"/>
  <c r="Z231" i="1"/>
  <c r="Z232" i="1"/>
  <c r="Z233" i="1"/>
  <c r="Z234" i="1"/>
  <c r="Z235" i="1"/>
  <c r="Z236" i="1"/>
  <c r="Z237" i="1"/>
  <c r="Z238" i="1"/>
  <c r="Z239" i="1"/>
  <c r="Z240" i="1"/>
  <c r="Z223" i="1"/>
  <c r="Z211" i="1"/>
  <c r="Z212" i="1"/>
  <c r="Z213" i="1"/>
  <c r="Z214" i="1"/>
  <c r="Z215" i="1"/>
  <c r="Z216" i="1"/>
  <c r="Z217" i="1"/>
  <c r="Z220" i="1"/>
  <c r="Z194" i="1"/>
  <c r="Z195" i="1"/>
  <c r="Z196" i="1"/>
  <c r="Z197" i="1"/>
  <c r="Z198" i="1"/>
  <c r="Z199" i="1"/>
  <c r="Z200" i="1"/>
  <c r="Z201" i="1"/>
  <c r="Z202" i="1"/>
  <c r="Z203" i="1"/>
  <c r="Z204" i="1"/>
  <c r="Z205" i="1"/>
  <c r="Z206" i="1"/>
  <c r="Z207" i="1"/>
  <c r="Z208" i="1"/>
  <c r="Z193" i="1"/>
  <c r="Z190" i="1"/>
  <c r="Z191" i="1"/>
  <c r="Z189" i="1"/>
  <c r="Z181" i="1"/>
  <c r="Z176" i="1"/>
  <c r="Z177" i="1"/>
  <c r="Z175" i="1"/>
  <c r="Z164" i="1"/>
  <c r="Z165" i="1"/>
  <c r="Z166" i="1"/>
  <c r="Z167" i="1"/>
  <c r="Z168" i="1"/>
  <c r="Z169" i="1"/>
  <c r="Z170" i="1"/>
  <c r="Z171" i="1"/>
  <c r="Z172" i="1"/>
  <c r="Z173" i="1"/>
  <c r="Z163" i="1"/>
  <c r="Z161" i="1"/>
  <c r="Z160" i="1"/>
  <c r="Z140" i="1"/>
  <c r="Z141" i="1"/>
  <c r="Z142" i="1"/>
  <c r="Z143" i="1"/>
  <c r="Z144" i="1"/>
  <c r="Z145" i="1"/>
  <c r="Z146" i="1"/>
  <c r="Z147" i="1"/>
  <c r="Z148" i="1"/>
  <c r="Z149" i="1"/>
  <c r="Z150" i="1"/>
  <c r="Z151" i="1"/>
  <c r="Z152" i="1"/>
  <c r="Z153" i="1"/>
  <c r="Z154" i="1"/>
  <c r="Z155" i="1"/>
  <c r="Z156" i="1"/>
  <c r="Z139" i="1"/>
  <c r="Z132" i="1"/>
  <c r="Z133" i="1"/>
  <c r="Z134" i="1"/>
  <c r="Z135" i="1"/>
  <c r="Z136" i="1"/>
  <c r="Z137" i="1"/>
  <c r="Z131" i="1"/>
  <c r="Z103" i="1"/>
  <c r="Z104" i="1"/>
  <c r="Z105" i="1"/>
  <c r="Z106" i="1"/>
  <c r="Z107" i="1"/>
  <c r="Z108" i="1"/>
  <c r="Z109" i="1"/>
  <c r="Z110" i="1"/>
  <c r="Z111" i="1"/>
  <c r="Z112" i="1"/>
  <c r="Z113" i="1"/>
  <c r="Z114" i="1"/>
  <c r="Z115" i="1"/>
  <c r="Z116" i="1"/>
  <c r="Z121" i="1"/>
  <c r="Z118" i="1"/>
  <c r="Z119" i="1"/>
  <c r="Z120" i="1"/>
  <c r="Z117" i="1"/>
  <c r="Z122" i="1"/>
  <c r="Z123" i="1"/>
  <c r="Z124" i="1"/>
  <c r="Z125" i="1"/>
  <c r="Z126" i="1"/>
  <c r="Z127" i="1"/>
  <c r="Z128" i="1"/>
  <c r="Z129" i="1"/>
  <c r="Z102" i="1"/>
  <c r="Z99" i="1"/>
  <c r="Z95" i="1"/>
  <c r="Z74" i="1"/>
  <c r="Z75" i="1"/>
  <c r="Z76" i="1"/>
  <c r="Z77" i="1"/>
  <c r="Z78" i="1"/>
  <c r="Z79" i="1"/>
  <c r="Z80" i="1"/>
  <c r="Z81" i="1"/>
  <c r="Z82" i="1"/>
  <c r="Z83" i="1"/>
  <c r="Z84" i="1"/>
  <c r="Z85" i="1"/>
  <c r="Z86" i="1"/>
  <c r="Z87" i="1"/>
  <c r="Z88" i="1"/>
  <c r="Z89" i="1"/>
  <c r="Z90" i="1"/>
  <c r="Z91" i="1"/>
  <c r="Z92" i="1"/>
  <c r="Z93" i="1"/>
  <c r="Z94" i="1"/>
  <c r="Z96" i="1"/>
  <c r="Z97" i="1"/>
  <c r="Z98" i="1"/>
  <c r="Z100" i="1"/>
  <c r="Z73" i="1"/>
  <c r="Z71" i="1"/>
  <c r="Z51" i="1"/>
  <c r="Z52" i="1"/>
  <c r="Z53" i="1"/>
  <c r="Z54" i="1"/>
  <c r="Z55" i="1"/>
  <c r="Z56" i="1"/>
  <c r="Z57" i="1"/>
  <c r="Z58" i="1"/>
  <c r="Z59" i="1"/>
  <c r="Z60" i="1"/>
  <c r="Z61" i="1"/>
  <c r="Z62" i="1"/>
  <c r="Z63" i="1"/>
  <c r="Z64" i="1"/>
  <c r="Z65" i="1"/>
  <c r="Z66" i="1"/>
  <c r="Z67" i="1"/>
  <c r="Z68" i="1"/>
  <c r="Z69" i="1"/>
  <c r="Z50" i="1"/>
  <c r="Z45" i="1"/>
  <c r="Z46" i="1"/>
  <c r="Z47" i="1"/>
  <c r="Z48" i="1"/>
  <c r="Z44" i="1"/>
  <c r="Z49" i="1"/>
  <c r="Z70" i="1"/>
  <c r="Z157" i="1"/>
  <c r="Z42" i="1"/>
  <c r="Z16" i="1"/>
  <c r="Z17" i="1"/>
  <c r="Z18" i="1"/>
  <c r="Z19" i="1"/>
  <c r="Z20" i="1"/>
  <c r="Z21" i="1"/>
  <c r="Z22" i="1"/>
  <c r="Z23" i="1"/>
  <c r="Z24" i="1"/>
  <c r="Z25" i="1"/>
  <c r="Z26" i="1"/>
  <c r="Z27" i="1"/>
  <c r="Z28" i="1"/>
  <c r="Z29" i="1"/>
  <c r="Z30" i="1"/>
  <c r="Z31" i="1"/>
  <c r="Z32" i="1"/>
  <c r="Z33" i="1"/>
  <c r="Z34" i="1"/>
  <c r="Z35" i="1"/>
  <c r="Z36" i="1"/>
  <c r="Z37" i="1"/>
  <c r="Z38" i="1"/>
  <c r="Z39" i="1"/>
  <c r="Z40" i="1"/>
  <c r="Z41" i="1"/>
  <c r="Z15" i="1"/>
  <c r="Z180" i="1"/>
  <c r="Z174" i="1"/>
  <c r="M15" i="1" l="1"/>
  <c r="O15" i="1" s="1"/>
  <c r="P15" i="1" s="1"/>
  <c r="Q15" i="1"/>
  <c r="R15" i="1" s="1"/>
  <c r="M31" i="1"/>
  <c r="O31" i="1" s="1"/>
  <c r="P31" i="1" s="1"/>
  <c r="Q31" i="1"/>
  <c r="R31" i="1" s="1"/>
  <c r="M19" i="1"/>
  <c r="O19" i="1" s="1"/>
  <c r="P19" i="1" s="1"/>
  <c r="Q19" i="1"/>
  <c r="R19" i="1" s="1"/>
  <c r="Q68" i="1"/>
  <c r="R68" i="1" s="1"/>
  <c r="M68" i="1"/>
  <c r="O68" i="1" s="1"/>
  <c r="P68" i="1" s="1"/>
  <c r="Q56" i="1"/>
  <c r="R56" i="1" s="1"/>
  <c r="M56" i="1"/>
  <c r="O56" i="1" s="1"/>
  <c r="P56" i="1" s="1"/>
  <c r="Q91" i="1"/>
  <c r="R91" i="1" s="1"/>
  <c r="M91" i="1"/>
  <c r="O91" i="1" s="1"/>
  <c r="P91" i="1" s="1"/>
  <c r="Q79" i="1"/>
  <c r="R79" i="1" s="1"/>
  <c r="M79" i="1"/>
  <c r="O79" i="1" s="1"/>
  <c r="P79" i="1" s="1"/>
  <c r="Q102" i="1"/>
  <c r="R102" i="1" s="1"/>
  <c r="M102" i="1"/>
  <c r="O102" i="1" s="1"/>
  <c r="P102" i="1" s="1"/>
  <c r="M105" i="1"/>
  <c r="O105" i="1" s="1"/>
  <c r="P105" i="1" s="1"/>
  <c r="Q105" i="1"/>
  <c r="R105" i="1" s="1"/>
  <c r="Q126" i="1"/>
  <c r="R126" i="1" s="1"/>
  <c r="M126" i="1"/>
  <c r="O126" i="1" s="1"/>
  <c r="P126" i="1" s="1"/>
  <c r="Q139" i="1"/>
  <c r="R139" i="1" s="1"/>
  <c r="M139" i="1"/>
  <c r="O139" i="1" s="1"/>
  <c r="P139" i="1" s="1"/>
  <c r="Q145" i="1"/>
  <c r="R145" i="1" s="1"/>
  <c r="M145" i="1"/>
  <c r="O145" i="1" s="1"/>
  <c r="P145" i="1" s="1"/>
  <c r="Q173" i="1"/>
  <c r="R173" i="1" s="1"/>
  <c r="M173" i="1"/>
  <c r="O173" i="1" s="1"/>
  <c r="Q178" i="1"/>
  <c r="R178" i="1" s="1"/>
  <c r="M178" i="1"/>
  <c r="O178" i="1" s="1"/>
  <c r="M42" i="1"/>
  <c r="O42" i="1" s="1"/>
  <c r="P42" i="1" s="1"/>
  <c r="Q42" i="1"/>
  <c r="R42" i="1" s="1"/>
  <c r="M30" i="1"/>
  <c r="O30" i="1" s="1"/>
  <c r="P30" i="1" s="1"/>
  <c r="Q30" i="1"/>
  <c r="R30" i="1" s="1"/>
  <c r="M18" i="1"/>
  <c r="O18" i="1" s="1"/>
  <c r="P18" i="1" s="1"/>
  <c r="Q18" i="1"/>
  <c r="R18" i="1" s="1"/>
  <c r="Q67" i="1"/>
  <c r="R67" i="1" s="1"/>
  <c r="M67" i="1"/>
  <c r="O67" i="1" s="1"/>
  <c r="P67" i="1" s="1"/>
  <c r="Q55" i="1"/>
  <c r="R55" i="1" s="1"/>
  <c r="M55" i="1"/>
  <c r="O55" i="1" s="1"/>
  <c r="P55" i="1" s="1"/>
  <c r="M90" i="1"/>
  <c r="O90" i="1" s="1"/>
  <c r="P90" i="1" s="1"/>
  <c r="Q90" i="1"/>
  <c r="R90" i="1" s="1"/>
  <c r="M78" i="1"/>
  <c r="O78" i="1" s="1"/>
  <c r="P78" i="1" s="1"/>
  <c r="Q78" i="1"/>
  <c r="R78" i="1" s="1"/>
  <c r="Q116" i="1"/>
  <c r="R116" i="1" s="1"/>
  <c r="M116" i="1"/>
  <c r="O116" i="1" s="1"/>
  <c r="P116" i="1" s="1"/>
  <c r="M104" i="1"/>
  <c r="O104" i="1" s="1"/>
  <c r="P104" i="1" s="1"/>
  <c r="Q104" i="1"/>
  <c r="R104" i="1" s="1"/>
  <c r="Q125" i="1"/>
  <c r="R125" i="1" s="1"/>
  <c r="M125" i="1"/>
  <c r="O125" i="1" s="1"/>
  <c r="P125" i="1" s="1"/>
  <c r="Q156" i="1"/>
  <c r="R156" i="1" s="1"/>
  <c r="M156" i="1"/>
  <c r="O156" i="1" s="1"/>
  <c r="P156" i="1" s="1"/>
  <c r="Q144" i="1"/>
  <c r="R144" i="1" s="1"/>
  <c r="M144" i="1"/>
  <c r="O144" i="1" s="1"/>
  <c r="P144" i="1" s="1"/>
  <c r="Q172" i="1"/>
  <c r="R172" i="1" s="1"/>
  <c r="M172" i="1"/>
  <c r="O172" i="1" s="1"/>
  <c r="Q177" i="1"/>
  <c r="R177" i="1" s="1"/>
  <c r="M177" i="1"/>
  <c r="O177" i="1" s="1"/>
  <c r="M41" i="1"/>
  <c r="O41" i="1" s="1"/>
  <c r="P41" i="1" s="1"/>
  <c r="Q41" i="1"/>
  <c r="R41" i="1" s="1"/>
  <c r="M29" i="1"/>
  <c r="O29" i="1" s="1"/>
  <c r="P29" i="1" s="1"/>
  <c r="Q29" i="1"/>
  <c r="R29" i="1" s="1"/>
  <c r="M17" i="1"/>
  <c r="O17" i="1" s="1"/>
  <c r="P17" i="1" s="1"/>
  <c r="Q17" i="1"/>
  <c r="R17" i="1" s="1"/>
  <c r="M66" i="1"/>
  <c r="O66" i="1" s="1"/>
  <c r="P66" i="1" s="1"/>
  <c r="Q66" i="1"/>
  <c r="R66" i="1" s="1"/>
  <c r="M54" i="1"/>
  <c r="O54" i="1" s="1"/>
  <c r="P54" i="1" s="1"/>
  <c r="Q54" i="1"/>
  <c r="R54" i="1" s="1"/>
  <c r="M89" i="1"/>
  <c r="O89" i="1" s="1"/>
  <c r="P89" i="1" s="1"/>
  <c r="Q89" i="1"/>
  <c r="R89" i="1" s="1"/>
  <c r="M77" i="1"/>
  <c r="O77" i="1" s="1"/>
  <c r="P77" i="1" s="1"/>
  <c r="Q77" i="1"/>
  <c r="R77" i="1" s="1"/>
  <c r="Q115" i="1"/>
  <c r="R115" i="1" s="1"/>
  <c r="M115" i="1"/>
  <c r="O115" i="1" s="1"/>
  <c r="P115" i="1" s="1"/>
  <c r="Q103" i="1"/>
  <c r="R103" i="1" s="1"/>
  <c r="M103" i="1"/>
  <c r="O103" i="1" s="1"/>
  <c r="P103" i="1" s="1"/>
  <c r="Q124" i="1"/>
  <c r="M124" i="1"/>
  <c r="O124" i="1" s="1"/>
  <c r="P124" i="1" s="1"/>
  <c r="M155" i="1"/>
  <c r="O155" i="1" s="1"/>
  <c r="P155" i="1" s="1"/>
  <c r="Q155" i="1"/>
  <c r="R155" i="1" s="1"/>
  <c r="M143" i="1"/>
  <c r="O143" i="1" s="1"/>
  <c r="P143" i="1" s="1"/>
  <c r="Q143" i="1"/>
  <c r="R143" i="1" s="1"/>
  <c r="M171" i="1"/>
  <c r="O171" i="1" s="1"/>
  <c r="Q171" i="1"/>
  <c r="R171" i="1" s="1"/>
  <c r="Q176" i="1"/>
  <c r="R176" i="1" s="1"/>
  <c r="M176" i="1"/>
  <c r="O176" i="1" s="1"/>
  <c r="M40" i="1"/>
  <c r="O40" i="1" s="1"/>
  <c r="P40" i="1" s="1"/>
  <c r="Q40" i="1"/>
  <c r="R40" i="1" s="1"/>
  <c r="M28" i="1"/>
  <c r="O28" i="1" s="1"/>
  <c r="P28" i="1" s="1"/>
  <c r="Q28" i="1"/>
  <c r="R28" i="1" s="1"/>
  <c r="M16" i="1"/>
  <c r="O16" i="1" s="1"/>
  <c r="P16" i="1" s="1"/>
  <c r="Q16" i="1"/>
  <c r="R16" i="1" s="1"/>
  <c r="M65" i="1"/>
  <c r="O65" i="1" s="1"/>
  <c r="P65" i="1" s="1"/>
  <c r="Q65" i="1"/>
  <c r="R65" i="1" s="1"/>
  <c r="M53" i="1"/>
  <c r="O53" i="1" s="1"/>
  <c r="P53" i="1" s="1"/>
  <c r="Q53" i="1"/>
  <c r="R53" i="1" s="1"/>
  <c r="Q88" i="1"/>
  <c r="R88" i="1" s="1"/>
  <c r="M88" i="1"/>
  <c r="O88" i="1" s="1"/>
  <c r="P88" i="1" s="1"/>
  <c r="Q76" i="1"/>
  <c r="R76" i="1" s="1"/>
  <c r="M76" i="1"/>
  <c r="O76" i="1" s="1"/>
  <c r="P76" i="1" s="1"/>
  <c r="M114" i="1"/>
  <c r="O114" i="1" s="1"/>
  <c r="P114" i="1" s="1"/>
  <c r="Q114" i="1"/>
  <c r="R114" i="1" s="1"/>
  <c r="M117" i="1"/>
  <c r="O117" i="1" s="1"/>
  <c r="P117" i="1" s="1"/>
  <c r="Q117" i="1"/>
  <c r="R117" i="1" s="1"/>
  <c r="M123" i="1"/>
  <c r="O123" i="1" s="1"/>
  <c r="P123" i="1" s="1"/>
  <c r="Q123" i="1"/>
  <c r="R123" i="1" s="1"/>
  <c r="M154" i="1"/>
  <c r="O154" i="1" s="1"/>
  <c r="P154" i="1" s="1"/>
  <c r="Q154" i="1"/>
  <c r="R154" i="1" s="1"/>
  <c r="M142" i="1"/>
  <c r="O142" i="1" s="1"/>
  <c r="P142" i="1" s="1"/>
  <c r="Q142" i="1"/>
  <c r="R142" i="1" s="1"/>
  <c r="Q170" i="1"/>
  <c r="R170" i="1" s="1"/>
  <c r="M170" i="1"/>
  <c r="O170" i="1" s="1"/>
  <c r="M179" i="1"/>
  <c r="O179" i="1" s="1"/>
  <c r="Q179" i="1"/>
  <c r="R179" i="1" s="1"/>
  <c r="M39" i="1"/>
  <c r="O39" i="1" s="1"/>
  <c r="P39" i="1" s="1"/>
  <c r="Q39" i="1"/>
  <c r="R39" i="1" s="1"/>
  <c r="M27" i="1"/>
  <c r="O27" i="1" s="1"/>
  <c r="P27" i="1" s="1"/>
  <c r="Q27" i="1"/>
  <c r="R27" i="1" s="1"/>
  <c r="Q44" i="1"/>
  <c r="R44" i="1" s="1"/>
  <c r="M44" i="1"/>
  <c r="O44" i="1" s="1"/>
  <c r="P44" i="1" s="1"/>
  <c r="M64" i="1"/>
  <c r="O64" i="1" s="1"/>
  <c r="P64" i="1" s="1"/>
  <c r="Q64" i="1"/>
  <c r="R64" i="1" s="1"/>
  <c r="M52" i="1"/>
  <c r="O52" i="1" s="1"/>
  <c r="P52" i="1" s="1"/>
  <c r="Q52" i="1"/>
  <c r="R52" i="1" s="1"/>
  <c r="Q87" i="1"/>
  <c r="R87" i="1" s="1"/>
  <c r="M87" i="1"/>
  <c r="O87" i="1" s="1"/>
  <c r="P87" i="1" s="1"/>
  <c r="Q75" i="1"/>
  <c r="R75" i="1" s="1"/>
  <c r="M75" i="1"/>
  <c r="O75" i="1" s="1"/>
  <c r="P75" i="1" s="1"/>
  <c r="Q113" i="1"/>
  <c r="R113" i="1" s="1"/>
  <c r="M113" i="1"/>
  <c r="O113" i="1" s="1"/>
  <c r="P113" i="1" s="1"/>
  <c r="Q118" i="1"/>
  <c r="R118" i="1" s="1"/>
  <c r="M118" i="1"/>
  <c r="O118" i="1" s="1"/>
  <c r="P118" i="1" s="1"/>
  <c r="Q131" i="1"/>
  <c r="R131" i="1" s="1"/>
  <c r="M131" i="1"/>
  <c r="O131" i="1" s="1"/>
  <c r="P131" i="1" s="1"/>
  <c r="Q153" i="1"/>
  <c r="R153" i="1" s="1"/>
  <c r="M153" i="1"/>
  <c r="O153" i="1" s="1"/>
  <c r="P153" i="1" s="1"/>
  <c r="M141" i="1"/>
  <c r="O141" i="1" s="1"/>
  <c r="P141" i="1" s="1"/>
  <c r="Q141" i="1"/>
  <c r="R141" i="1" s="1"/>
  <c r="Q169" i="1"/>
  <c r="R169" i="1" s="1"/>
  <c r="M169" i="1"/>
  <c r="O169" i="1" s="1"/>
  <c r="Q180" i="1"/>
  <c r="R180" i="1" s="1"/>
  <c r="M180" i="1"/>
  <c r="O180" i="1" s="1"/>
  <c r="Q253" i="1"/>
  <c r="R253" i="1" s="1"/>
  <c r="M253" i="1"/>
  <c r="O253" i="1" s="1"/>
  <c r="P253" i="1" s="1"/>
  <c r="Q38" i="1"/>
  <c r="R38" i="1" s="1"/>
  <c r="M38" i="1"/>
  <c r="O38" i="1" s="1"/>
  <c r="P38" i="1" s="1"/>
  <c r="Q26" i="1"/>
  <c r="R26" i="1" s="1"/>
  <c r="M26" i="1"/>
  <c r="O26" i="1" s="1"/>
  <c r="P26" i="1" s="1"/>
  <c r="Q48" i="1"/>
  <c r="R48" i="1" s="1"/>
  <c r="M48" i="1"/>
  <c r="O48" i="1" s="1"/>
  <c r="P48" i="1" s="1"/>
  <c r="Q63" i="1"/>
  <c r="R63" i="1" s="1"/>
  <c r="M63" i="1"/>
  <c r="O63" i="1" s="1"/>
  <c r="P63" i="1" s="1"/>
  <c r="Q51" i="1"/>
  <c r="R51" i="1" s="1"/>
  <c r="M51" i="1"/>
  <c r="O51" i="1" s="1"/>
  <c r="P51" i="1" s="1"/>
  <c r="Q86" i="1"/>
  <c r="R86" i="1" s="1"/>
  <c r="M86" i="1"/>
  <c r="O86" i="1" s="1"/>
  <c r="P86" i="1" s="1"/>
  <c r="Q74" i="1"/>
  <c r="R74" i="1" s="1"/>
  <c r="M74" i="1"/>
  <c r="O74" i="1" s="1"/>
  <c r="P74" i="1" s="1"/>
  <c r="Q112" i="1"/>
  <c r="R112" i="1" s="1"/>
  <c r="M112" i="1"/>
  <c r="O112" i="1" s="1"/>
  <c r="P112" i="1" s="1"/>
  <c r="Q120" i="1"/>
  <c r="R120" i="1" s="1"/>
  <c r="M120" i="1"/>
  <c r="O120" i="1" s="1"/>
  <c r="P120" i="1" s="1"/>
  <c r="Q137" i="1"/>
  <c r="R137" i="1" s="1"/>
  <c r="M137" i="1"/>
  <c r="O137" i="1" s="1"/>
  <c r="P137" i="1" s="1"/>
  <c r="M152" i="1"/>
  <c r="O152" i="1" s="1"/>
  <c r="P152" i="1" s="1"/>
  <c r="Q152" i="1"/>
  <c r="R152" i="1" s="1"/>
  <c r="M140" i="1"/>
  <c r="O140" i="1" s="1"/>
  <c r="P140" i="1" s="1"/>
  <c r="Q140" i="1"/>
  <c r="R140" i="1" s="1"/>
  <c r="M168" i="1"/>
  <c r="O168" i="1" s="1"/>
  <c r="Q168" i="1"/>
  <c r="R168" i="1" s="1"/>
  <c r="M181" i="1"/>
  <c r="O181" i="1" s="1"/>
  <c r="Q181" i="1"/>
  <c r="R181" i="1" s="1"/>
  <c r="Q37" i="1"/>
  <c r="R37" i="1" s="1"/>
  <c r="M37" i="1"/>
  <c r="O37" i="1" s="1"/>
  <c r="P37" i="1" s="1"/>
  <c r="Q25" i="1"/>
  <c r="R25" i="1" s="1"/>
  <c r="M25" i="1"/>
  <c r="O25" i="1" s="1"/>
  <c r="P25" i="1" s="1"/>
  <c r="Q47" i="1"/>
  <c r="R47" i="1" s="1"/>
  <c r="M47" i="1"/>
  <c r="O47" i="1" s="1"/>
  <c r="P47" i="1" s="1"/>
  <c r="Q62" i="1"/>
  <c r="R62" i="1" s="1"/>
  <c r="M62" i="1"/>
  <c r="O62" i="1" s="1"/>
  <c r="P62" i="1" s="1"/>
  <c r="Q70" i="1"/>
  <c r="R70" i="1" s="1"/>
  <c r="M70" i="1"/>
  <c r="O70" i="1" s="1"/>
  <c r="P70" i="1" s="1"/>
  <c r="Q85" i="1"/>
  <c r="R85" i="1" s="1"/>
  <c r="M85" i="1"/>
  <c r="O85" i="1" s="1"/>
  <c r="P85" i="1" s="1"/>
  <c r="Q95" i="1"/>
  <c r="R95" i="1" s="1"/>
  <c r="M95" i="1"/>
  <c r="O95" i="1" s="1"/>
  <c r="P95" i="1" s="1"/>
  <c r="Q111" i="1"/>
  <c r="R111" i="1" s="1"/>
  <c r="M111" i="1"/>
  <c r="O111" i="1" s="1"/>
  <c r="P111" i="1" s="1"/>
  <c r="Q119" i="1"/>
  <c r="R119" i="1" s="1"/>
  <c r="M119" i="1"/>
  <c r="O119" i="1" s="1"/>
  <c r="P119" i="1" s="1"/>
  <c r="Q136" i="1"/>
  <c r="R136" i="1" s="1"/>
  <c r="M136" i="1"/>
  <c r="O136" i="1" s="1"/>
  <c r="P136" i="1" s="1"/>
  <c r="Q151" i="1"/>
  <c r="R151" i="1" s="1"/>
  <c r="M151" i="1"/>
  <c r="O151" i="1" s="1"/>
  <c r="P151" i="1" s="1"/>
  <c r="Q157" i="1"/>
  <c r="R157" i="1" s="1"/>
  <c r="M157" i="1"/>
  <c r="O157" i="1" s="1"/>
  <c r="P157" i="1" s="1"/>
  <c r="Q167" i="1"/>
  <c r="R167" i="1" s="1"/>
  <c r="M167" i="1"/>
  <c r="O167" i="1" s="1"/>
  <c r="Q182" i="1"/>
  <c r="R182" i="1" s="1"/>
  <c r="M182" i="1"/>
  <c r="O182" i="1" s="1"/>
  <c r="Q36" i="1"/>
  <c r="R36" i="1" s="1"/>
  <c r="M36" i="1"/>
  <c r="O36" i="1" s="1"/>
  <c r="P36" i="1" s="1"/>
  <c r="Q24" i="1"/>
  <c r="R24" i="1" s="1"/>
  <c r="M24" i="1"/>
  <c r="O24" i="1" s="1"/>
  <c r="P24" i="1" s="1"/>
  <c r="Q46" i="1"/>
  <c r="R46" i="1" s="1"/>
  <c r="M46" i="1"/>
  <c r="O46" i="1" s="1"/>
  <c r="P46" i="1" s="1"/>
  <c r="Q61" i="1"/>
  <c r="R61" i="1" s="1"/>
  <c r="M61" i="1"/>
  <c r="O61" i="1" s="1"/>
  <c r="P61" i="1" s="1"/>
  <c r="M71" i="1"/>
  <c r="O71" i="1" s="1"/>
  <c r="P71" i="1" s="1"/>
  <c r="Q71" i="1"/>
  <c r="R71" i="1" s="1"/>
  <c r="Q84" i="1"/>
  <c r="R84" i="1" s="1"/>
  <c r="M84" i="1"/>
  <c r="O84" i="1" s="1"/>
  <c r="P84" i="1" s="1"/>
  <c r="Q96" i="1"/>
  <c r="R96" i="1" s="1"/>
  <c r="M96" i="1"/>
  <c r="O96" i="1" s="1"/>
  <c r="P96" i="1" s="1"/>
  <c r="Q110" i="1"/>
  <c r="R110" i="1" s="1"/>
  <c r="M110" i="1"/>
  <c r="O110" i="1" s="1"/>
  <c r="P110" i="1" s="1"/>
  <c r="M121" i="1"/>
  <c r="O121" i="1" s="1"/>
  <c r="P121" i="1" s="1"/>
  <c r="Q121" i="1"/>
  <c r="R121" i="1" s="1"/>
  <c r="Q135" i="1"/>
  <c r="R135" i="1" s="1"/>
  <c r="M135" i="1"/>
  <c r="O135" i="1" s="1"/>
  <c r="P135" i="1" s="1"/>
  <c r="Q150" i="1"/>
  <c r="R150" i="1" s="1"/>
  <c r="M150" i="1"/>
  <c r="O150" i="1" s="1"/>
  <c r="P150" i="1" s="1"/>
  <c r="Q158" i="1"/>
  <c r="R158" i="1" s="1"/>
  <c r="M158" i="1"/>
  <c r="O158" i="1" s="1"/>
  <c r="P158" i="1" s="1"/>
  <c r="M166" i="1"/>
  <c r="O166" i="1" s="1"/>
  <c r="Q166" i="1"/>
  <c r="R166" i="1" s="1"/>
  <c r="Q183" i="1"/>
  <c r="R183" i="1" s="1"/>
  <c r="M183" i="1"/>
  <c r="O183" i="1" s="1"/>
  <c r="Q35" i="1"/>
  <c r="R35" i="1" s="1"/>
  <c r="M35" i="1"/>
  <c r="O35" i="1" s="1"/>
  <c r="P35" i="1" s="1"/>
  <c r="Q23" i="1"/>
  <c r="R23" i="1" s="1"/>
  <c r="M23" i="1"/>
  <c r="O23" i="1" s="1"/>
  <c r="P23" i="1" s="1"/>
  <c r="Q45" i="1"/>
  <c r="R45" i="1" s="1"/>
  <c r="M45" i="1"/>
  <c r="O45" i="1" s="1"/>
  <c r="P45" i="1" s="1"/>
  <c r="Q60" i="1"/>
  <c r="R60" i="1" s="1"/>
  <c r="M60" i="1"/>
  <c r="O60" i="1" s="1"/>
  <c r="P60" i="1" s="1"/>
  <c r="Q73" i="1"/>
  <c r="R73" i="1" s="1"/>
  <c r="M73" i="1"/>
  <c r="O73" i="1" s="1"/>
  <c r="P73" i="1" s="1"/>
  <c r="Q83" i="1"/>
  <c r="R83" i="1" s="1"/>
  <c r="M83" i="1"/>
  <c r="O83" i="1" s="1"/>
  <c r="P83" i="1" s="1"/>
  <c r="Q98" i="1"/>
  <c r="R98" i="1" s="1"/>
  <c r="M98" i="1"/>
  <c r="O98" i="1" s="1"/>
  <c r="P98" i="1" s="1"/>
  <c r="Q109" i="1"/>
  <c r="R109" i="1" s="1"/>
  <c r="M109" i="1"/>
  <c r="O109" i="1" s="1"/>
  <c r="P109" i="1" s="1"/>
  <c r="Q122" i="1"/>
  <c r="R122" i="1" s="1"/>
  <c r="M122" i="1"/>
  <c r="O122" i="1" s="1"/>
  <c r="P122" i="1" s="1"/>
  <c r="Q134" i="1"/>
  <c r="R134" i="1" s="1"/>
  <c r="M134" i="1"/>
  <c r="O134" i="1" s="1"/>
  <c r="P134" i="1" s="1"/>
  <c r="Q149" i="1"/>
  <c r="R149" i="1" s="1"/>
  <c r="M149" i="1"/>
  <c r="O149" i="1" s="1"/>
  <c r="P149" i="1" s="1"/>
  <c r="M160" i="1"/>
  <c r="O160" i="1" s="1"/>
  <c r="Q160" i="1"/>
  <c r="R160" i="1" s="1"/>
  <c r="M165" i="1"/>
  <c r="O165" i="1" s="1"/>
  <c r="Q165" i="1"/>
  <c r="R165" i="1" s="1"/>
  <c r="Q184" i="1"/>
  <c r="R184" i="1" s="1"/>
  <c r="M184" i="1"/>
  <c r="O184" i="1" s="1"/>
  <c r="M34" i="1"/>
  <c r="O34" i="1" s="1"/>
  <c r="P34" i="1" s="1"/>
  <c r="Q34" i="1"/>
  <c r="R34" i="1" s="1"/>
  <c r="M22" i="1"/>
  <c r="O22" i="1" s="1"/>
  <c r="P22" i="1" s="1"/>
  <c r="Q22" i="1"/>
  <c r="R22" i="1" s="1"/>
  <c r="Q49" i="1"/>
  <c r="R49" i="1" s="1"/>
  <c r="M49" i="1"/>
  <c r="O49" i="1" s="1"/>
  <c r="P49" i="1" s="1"/>
  <c r="Q59" i="1"/>
  <c r="R59" i="1" s="1"/>
  <c r="M59" i="1"/>
  <c r="O59" i="1" s="1"/>
  <c r="P59" i="1" s="1"/>
  <c r="Q94" i="1"/>
  <c r="R94" i="1" s="1"/>
  <c r="M94" i="1"/>
  <c r="O94" i="1" s="1"/>
  <c r="P94" i="1" s="1"/>
  <c r="Q82" i="1"/>
  <c r="R82" i="1" s="1"/>
  <c r="M82" i="1"/>
  <c r="O82" i="1" s="1"/>
  <c r="P82" i="1" s="1"/>
  <c r="Q97" i="1"/>
  <c r="R97" i="1" s="1"/>
  <c r="M97" i="1"/>
  <c r="O97" i="1" s="1"/>
  <c r="P97" i="1" s="1"/>
  <c r="Q108" i="1"/>
  <c r="R108" i="1" s="1"/>
  <c r="M108" i="1"/>
  <c r="O108" i="1" s="1"/>
  <c r="P108" i="1" s="1"/>
  <c r="M129" i="1"/>
  <c r="O129" i="1" s="1"/>
  <c r="P129" i="1" s="1"/>
  <c r="Q129" i="1"/>
  <c r="R129" i="1" s="1"/>
  <c r="Q133" i="1"/>
  <c r="R133" i="1" s="1"/>
  <c r="M133" i="1"/>
  <c r="O133" i="1" s="1"/>
  <c r="P133" i="1" s="1"/>
  <c r="Q148" i="1"/>
  <c r="R148" i="1" s="1"/>
  <c r="M148" i="1"/>
  <c r="O148" i="1" s="1"/>
  <c r="P148" i="1" s="1"/>
  <c r="Q161" i="1"/>
  <c r="R161" i="1" s="1"/>
  <c r="M161" i="1"/>
  <c r="O161" i="1" s="1"/>
  <c r="P161" i="1" s="1"/>
  <c r="M164" i="1"/>
  <c r="O164" i="1" s="1"/>
  <c r="Q164" i="1"/>
  <c r="R164" i="1" s="1"/>
  <c r="Q185" i="1"/>
  <c r="R185" i="1" s="1"/>
  <c r="M185" i="1"/>
  <c r="O185" i="1" s="1"/>
  <c r="Q21" i="1"/>
  <c r="R21" i="1" s="1"/>
  <c r="M21" i="1"/>
  <c r="O21" i="1" s="1"/>
  <c r="P21" i="1" s="1"/>
  <c r="Q58" i="1"/>
  <c r="R58" i="1" s="1"/>
  <c r="M58" i="1"/>
  <c r="O58" i="1" s="1"/>
  <c r="P58" i="1" s="1"/>
  <c r="M81" i="1"/>
  <c r="O81" i="1" s="1"/>
  <c r="P81" i="1" s="1"/>
  <c r="Q81" i="1"/>
  <c r="R81" i="1" s="1"/>
  <c r="Q99" i="1"/>
  <c r="R99" i="1" s="1"/>
  <c r="M99" i="1"/>
  <c r="O99" i="1" s="1"/>
  <c r="P99" i="1" s="1"/>
  <c r="Q107" i="1"/>
  <c r="R107" i="1" s="1"/>
  <c r="M107" i="1"/>
  <c r="O107" i="1" s="1"/>
  <c r="P107" i="1" s="1"/>
  <c r="M128" i="1"/>
  <c r="O128" i="1" s="1"/>
  <c r="P128" i="1" s="1"/>
  <c r="Q128" i="1"/>
  <c r="R128" i="1" s="1"/>
  <c r="Q132" i="1"/>
  <c r="R132" i="1" s="1"/>
  <c r="M132" i="1"/>
  <c r="O132" i="1" s="1"/>
  <c r="P132" i="1" s="1"/>
  <c r="Q147" i="1"/>
  <c r="R147" i="1" s="1"/>
  <c r="M147" i="1"/>
  <c r="O147" i="1" s="1"/>
  <c r="P147" i="1" s="1"/>
  <c r="Q162" i="1"/>
  <c r="R162" i="1" s="1"/>
  <c r="M162" i="1"/>
  <c r="O162" i="1" s="1"/>
  <c r="Q174" i="1"/>
  <c r="R174" i="1" s="1"/>
  <c r="M174" i="1"/>
  <c r="O174" i="1" s="1"/>
  <c r="Q33" i="1"/>
  <c r="R33" i="1" s="1"/>
  <c r="M33" i="1"/>
  <c r="O33" i="1" s="1"/>
  <c r="P33" i="1" s="1"/>
  <c r="Q50" i="1"/>
  <c r="R50" i="1" s="1"/>
  <c r="M50" i="1"/>
  <c r="O50" i="1" s="1"/>
  <c r="P50" i="1" s="1"/>
  <c r="Q93" i="1"/>
  <c r="R93" i="1" s="1"/>
  <c r="M93" i="1"/>
  <c r="O93" i="1" s="1"/>
  <c r="P93" i="1" s="1"/>
  <c r="M186" i="1"/>
  <c r="O186" i="1" s="1"/>
  <c r="Q186" i="1"/>
  <c r="R186" i="1" s="1"/>
  <c r="Q32" i="1"/>
  <c r="R32" i="1" s="1"/>
  <c r="M32" i="1"/>
  <c r="O32" i="1" s="1"/>
  <c r="P32" i="1" s="1"/>
  <c r="Q20" i="1"/>
  <c r="R20" i="1" s="1"/>
  <c r="M20" i="1"/>
  <c r="O20" i="1" s="1"/>
  <c r="P20" i="1" s="1"/>
  <c r="Q69" i="1"/>
  <c r="R69" i="1" s="1"/>
  <c r="M69" i="1"/>
  <c r="O69" i="1" s="1"/>
  <c r="P69" i="1" s="1"/>
  <c r="Q57" i="1"/>
  <c r="R57" i="1" s="1"/>
  <c r="M57" i="1"/>
  <c r="O57" i="1" s="1"/>
  <c r="P57" i="1" s="1"/>
  <c r="Q92" i="1"/>
  <c r="R92" i="1" s="1"/>
  <c r="M92" i="1"/>
  <c r="O92" i="1" s="1"/>
  <c r="P92" i="1" s="1"/>
  <c r="Q80" i="1"/>
  <c r="R80" i="1" s="1"/>
  <c r="M80" i="1"/>
  <c r="O80" i="1" s="1"/>
  <c r="P80" i="1" s="1"/>
  <c r="Q100" i="1"/>
  <c r="R100" i="1" s="1"/>
  <c r="M100" i="1"/>
  <c r="O100" i="1" s="1"/>
  <c r="P100" i="1" s="1"/>
  <c r="Q106" i="1"/>
  <c r="R106" i="1" s="1"/>
  <c r="M106" i="1"/>
  <c r="O106" i="1" s="1"/>
  <c r="P106" i="1" s="1"/>
  <c r="Q127" i="1"/>
  <c r="R127" i="1" s="1"/>
  <c r="M127" i="1"/>
  <c r="O127" i="1" s="1"/>
  <c r="P127" i="1" s="1"/>
  <c r="M138" i="1"/>
  <c r="O138" i="1" s="1"/>
  <c r="P138" i="1" s="1"/>
  <c r="Q138" i="1"/>
  <c r="R138" i="1" s="1"/>
  <c r="Q146" i="1"/>
  <c r="R146" i="1" s="1"/>
  <c r="M146" i="1"/>
  <c r="O146" i="1" s="1"/>
  <c r="P146" i="1" s="1"/>
  <c r="Q163" i="1"/>
  <c r="R163" i="1" s="1"/>
  <c r="M163" i="1"/>
  <c r="O163" i="1" s="1"/>
  <c r="Q175" i="1"/>
  <c r="R175" i="1" s="1"/>
  <c r="M175" i="1"/>
  <c r="O175" i="1" s="1"/>
  <c r="Q187" i="1"/>
  <c r="R187" i="1" s="1"/>
  <c r="M187" i="1"/>
  <c r="O187" i="1" s="1"/>
  <c r="R124" i="1"/>
  <c r="S104" i="1" l="1"/>
  <c r="S27" i="1"/>
  <c r="S29" i="1"/>
  <c r="S46" i="1"/>
  <c r="S153" i="1"/>
  <c r="S121" i="1"/>
  <c r="S62" i="1"/>
  <c r="P162" i="1"/>
  <c r="S162" i="1" s="1"/>
  <c r="P184" i="1"/>
  <c r="P183" i="1"/>
  <c r="S183" i="1" s="1"/>
  <c r="P168" i="1"/>
  <c r="S168" i="1" s="1"/>
  <c r="P180" i="1"/>
  <c r="S180" i="1" s="1"/>
  <c r="P181" i="1"/>
  <c r="S181" i="1" s="1"/>
  <c r="P170" i="1"/>
  <c r="S170" i="1" s="1"/>
  <c r="P164" i="1"/>
  <c r="S164" i="1" s="1"/>
  <c r="P187" i="1"/>
  <c r="P165" i="1"/>
  <c r="S165" i="1" s="1"/>
  <c r="P166" i="1"/>
  <c r="S166" i="1" s="1"/>
  <c r="P182" i="1"/>
  <c r="S182" i="1" s="1"/>
  <c r="P171" i="1"/>
  <c r="S171" i="1" s="1"/>
  <c r="P179" i="1"/>
  <c r="S179" i="1" s="1"/>
  <c r="P176" i="1"/>
  <c r="S176" i="1" s="1"/>
  <c r="P167" i="1"/>
  <c r="S167" i="1" s="1"/>
  <c r="P172" i="1"/>
  <c r="S172" i="1" s="1"/>
  <c r="P175" i="1"/>
  <c r="S175" i="1" s="1"/>
  <c r="P178" i="1"/>
  <c r="S178" i="1" s="1"/>
  <c r="P163" i="1"/>
  <c r="S163" i="1" s="1"/>
  <c r="P169" i="1"/>
  <c r="S169" i="1" s="1"/>
  <c r="P185" i="1"/>
  <c r="P174" i="1"/>
  <c r="P177" i="1"/>
  <c r="S177" i="1" s="1"/>
  <c r="P173" i="1"/>
  <c r="S173" i="1" s="1"/>
  <c r="P186" i="1"/>
  <c r="P160" i="1"/>
  <c r="S126" i="1"/>
  <c r="S110" i="1"/>
  <c r="S24" i="1"/>
  <c r="S76" i="1"/>
  <c r="S119" i="1"/>
  <c r="S47" i="1"/>
  <c r="S30" i="1"/>
  <c r="S84" i="1"/>
  <c r="S112" i="1"/>
  <c r="S95" i="1"/>
  <c r="S37" i="1"/>
  <c r="S88" i="1"/>
  <c r="S150" i="1"/>
  <c r="S71" i="1"/>
  <c r="S48" i="1"/>
  <c r="S155" i="1"/>
  <c r="S85" i="1"/>
  <c r="S137" i="1"/>
  <c r="S77" i="1"/>
  <c r="S68" i="1"/>
  <c r="S87" i="1"/>
  <c r="S31" i="1"/>
  <c r="S38" i="1"/>
  <c r="S135" i="1"/>
  <c r="S61" i="1"/>
  <c r="S75" i="1"/>
  <c r="S89" i="1"/>
  <c r="S151" i="1"/>
  <c r="S51" i="1"/>
  <c r="S124" i="1"/>
  <c r="S96" i="1"/>
  <c r="S36" i="1"/>
  <c r="S65" i="1"/>
  <c r="S111" i="1"/>
  <c r="S25" i="1"/>
  <c r="S78" i="1"/>
  <c r="S42" i="1"/>
  <c r="S39" i="1"/>
  <c r="S114" i="1"/>
  <c r="S15" i="1"/>
  <c r="S152" i="1"/>
  <c r="S86" i="1"/>
  <c r="S127" i="1"/>
  <c r="S69" i="1"/>
  <c r="S81" i="1"/>
  <c r="S97" i="1"/>
  <c r="S34" i="1"/>
  <c r="S109" i="1"/>
  <c r="S23" i="1"/>
  <c r="S18" i="1"/>
  <c r="S116" i="1"/>
  <c r="S19" i="1"/>
  <c r="S118" i="1"/>
  <c r="S106" i="1"/>
  <c r="S20" i="1"/>
  <c r="S28" i="1"/>
  <c r="S147" i="1"/>
  <c r="S93" i="1"/>
  <c r="S64" i="1"/>
  <c r="S82" i="1"/>
  <c r="S98" i="1"/>
  <c r="S35" i="1"/>
  <c r="S44" i="1"/>
  <c r="S100" i="1"/>
  <c r="S32" i="1"/>
  <c r="S58" i="1"/>
  <c r="S148" i="1"/>
  <c r="S94" i="1"/>
  <c r="S52" i="1"/>
  <c r="S83" i="1"/>
  <c r="S63" i="1"/>
  <c r="S144" i="1"/>
  <c r="S90" i="1"/>
  <c r="S79" i="1"/>
  <c r="S154" i="1"/>
  <c r="S80" i="1"/>
  <c r="S140" i="1"/>
  <c r="S50" i="1"/>
  <c r="S40" i="1"/>
  <c r="S133" i="1"/>
  <c r="S59" i="1"/>
  <c r="S149" i="1"/>
  <c r="S156" i="1"/>
  <c r="S55" i="1"/>
  <c r="S145" i="1"/>
  <c r="S91" i="1"/>
  <c r="S53" i="1"/>
  <c r="S92" i="1"/>
  <c r="S26" i="1"/>
  <c r="S21" i="1"/>
  <c r="S66" i="1"/>
  <c r="S129" i="1"/>
  <c r="S49" i="1"/>
  <c r="S143" i="1"/>
  <c r="S60" i="1"/>
  <c r="S123" i="1"/>
  <c r="S16" i="1"/>
  <c r="S125" i="1"/>
  <c r="S67" i="1"/>
  <c r="S139" i="1"/>
  <c r="S56" i="1"/>
  <c r="S120" i="1"/>
  <c r="S115" i="1"/>
  <c r="S138" i="1"/>
  <c r="S57" i="1"/>
  <c r="S141" i="1"/>
  <c r="S33" i="1"/>
  <c r="S108" i="1"/>
  <c r="S22" i="1"/>
  <c r="S54" i="1"/>
  <c r="S122" i="1"/>
  <c r="S45" i="1"/>
  <c r="S17" i="1"/>
  <c r="H254" i="1"/>
  <c r="I254" i="1" s="1"/>
  <c r="H250" i="1"/>
  <c r="I250" i="1" s="1"/>
  <c r="H249" i="1"/>
  <c r="I249" i="1" s="1"/>
  <c r="H248" i="1"/>
  <c r="I248" i="1" s="1"/>
  <c r="H247" i="1"/>
  <c r="I247" i="1" s="1"/>
  <c r="H246" i="1"/>
  <c r="I246" i="1" s="1"/>
  <c r="H245" i="1"/>
  <c r="I245" i="1" s="1"/>
  <c r="H244" i="1"/>
  <c r="I244" i="1" s="1"/>
  <c r="H243" i="1"/>
  <c r="I243" i="1" s="1"/>
  <c r="H242" i="1"/>
  <c r="I242" i="1" s="1"/>
  <c r="H241" i="1"/>
  <c r="I241" i="1" s="1"/>
  <c r="H240" i="1"/>
  <c r="I240" i="1" s="1"/>
  <c r="H239" i="1"/>
  <c r="I239" i="1" s="1"/>
  <c r="H238" i="1"/>
  <c r="I238" i="1" s="1"/>
  <c r="H237" i="1"/>
  <c r="I237" i="1" s="1"/>
  <c r="H236" i="1"/>
  <c r="I236" i="1" s="1"/>
  <c r="H235" i="1"/>
  <c r="I235" i="1" s="1"/>
  <c r="H234" i="1"/>
  <c r="I234" i="1" s="1"/>
  <c r="H233" i="1"/>
  <c r="I233" i="1" s="1"/>
  <c r="H232" i="1"/>
  <c r="I232" i="1" s="1"/>
  <c r="H231" i="1"/>
  <c r="I231" i="1" s="1"/>
  <c r="H230" i="1"/>
  <c r="I230" i="1" s="1"/>
  <c r="H229" i="1"/>
  <c r="I229" i="1" s="1"/>
  <c r="H228" i="1"/>
  <c r="I228" i="1" s="1"/>
  <c r="H227" i="1"/>
  <c r="I227" i="1" s="1"/>
  <c r="H226" i="1"/>
  <c r="I226" i="1" s="1"/>
  <c r="H225" i="1"/>
  <c r="I225" i="1" s="1"/>
  <c r="H224" i="1"/>
  <c r="I224" i="1" s="1"/>
  <c r="H223" i="1"/>
  <c r="I223" i="1" s="1"/>
  <c r="H222" i="1"/>
  <c r="I222" i="1" s="1"/>
  <c r="H221" i="1"/>
  <c r="I221" i="1" s="1"/>
  <c r="H220" i="1"/>
  <c r="I220" i="1" s="1"/>
  <c r="H219" i="1"/>
  <c r="I219" i="1" s="1"/>
  <c r="H218" i="1"/>
  <c r="I218" i="1" s="1"/>
  <c r="H217" i="1"/>
  <c r="I217" i="1" s="1"/>
  <c r="H216" i="1"/>
  <c r="I216" i="1" s="1"/>
  <c r="H215" i="1"/>
  <c r="I215" i="1" s="1"/>
  <c r="H214" i="1"/>
  <c r="I214" i="1" s="1"/>
  <c r="H213" i="1"/>
  <c r="I213" i="1" s="1"/>
  <c r="H212" i="1"/>
  <c r="I212" i="1" s="1"/>
  <c r="H211" i="1"/>
  <c r="I211" i="1" s="1"/>
  <c r="H210" i="1"/>
  <c r="I210" i="1" s="1"/>
  <c r="H209" i="1"/>
  <c r="I209" i="1" s="1"/>
  <c r="H208" i="1"/>
  <c r="I208" i="1" s="1"/>
  <c r="H207" i="1"/>
  <c r="I207" i="1" s="1"/>
  <c r="H206" i="1"/>
  <c r="I206" i="1" s="1"/>
  <c r="H205" i="1"/>
  <c r="I205" i="1" s="1"/>
  <c r="H204" i="1"/>
  <c r="I204" i="1" s="1"/>
  <c r="H203" i="1"/>
  <c r="I203" i="1" s="1"/>
  <c r="H202" i="1"/>
  <c r="I202" i="1" s="1"/>
  <c r="H201" i="1"/>
  <c r="I201" i="1" s="1"/>
  <c r="H200" i="1"/>
  <c r="I200" i="1" s="1"/>
  <c r="H199" i="1"/>
  <c r="I199" i="1" s="1"/>
  <c r="H198" i="1"/>
  <c r="I198" i="1" s="1"/>
  <c r="H197" i="1"/>
  <c r="I197" i="1" s="1"/>
  <c r="H196" i="1"/>
  <c r="I196" i="1" s="1"/>
  <c r="H195" i="1"/>
  <c r="I195" i="1" s="1"/>
  <c r="H194" i="1"/>
  <c r="I194" i="1" s="1"/>
  <c r="H193" i="1"/>
  <c r="I193" i="1" s="1"/>
  <c r="H192" i="1"/>
  <c r="I192" i="1" s="1"/>
  <c r="H191" i="1"/>
  <c r="I191" i="1" s="1"/>
  <c r="H190" i="1"/>
  <c r="I190" i="1" s="1"/>
  <c r="H189" i="1"/>
  <c r="I189" i="1" s="1"/>
  <c r="M232" i="1" l="1"/>
  <c r="O232" i="1" s="1"/>
  <c r="P232" i="1" s="1"/>
  <c r="M240" i="1"/>
  <c r="O240" i="1" s="1"/>
  <c r="P240" i="1" s="1"/>
  <c r="Q244" i="1"/>
  <c r="R244" i="1" s="1"/>
  <c r="M203" i="1"/>
  <c r="O203" i="1" s="1"/>
  <c r="P203" i="1" s="1"/>
  <c r="Q199" i="1"/>
  <c r="R199" i="1" s="1"/>
  <c r="M233" i="1"/>
  <c r="O233" i="1" s="1"/>
  <c r="P233" i="1" s="1"/>
  <c r="M195" i="1"/>
  <c r="O195" i="1" s="1"/>
  <c r="P195" i="1" s="1"/>
  <c r="M229" i="1"/>
  <c r="O229" i="1" s="1"/>
  <c r="P229" i="1" s="1"/>
  <c r="Q246" i="1"/>
  <c r="R246" i="1" s="1"/>
  <c r="M191" i="1"/>
  <c r="O191" i="1" s="1"/>
  <c r="P191" i="1" s="1"/>
  <c r="Q222" i="1"/>
  <c r="R222" i="1" s="1"/>
  <c r="Q230" i="1"/>
  <c r="R230" i="1" s="1"/>
  <c r="M230" i="1"/>
  <c r="O230" i="1" s="1"/>
  <c r="P230" i="1" s="1"/>
  <c r="Q234" i="1"/>
  <c r="R234" i="1" s="1"/>
  <c r="M234" i="1"/>
  <c r="O234" i="1" s="1"/>
  <c r="P234" i="1" s="1"/>
  <c r="M238" i="1"/>
  <c r="O238" i="1" s="1"/>
  <c r="P238" i="1" s="1"/>
  <c r="Q238" i="1"/>
  <c r="R238" i="1" s="1"/>
  <c r="M242" i="1"/>
  <c r="O242" i="1" s="1"/>
  <c r="P242" i="1" s="1"/>
  <c r="Q242" i="1"/>
  <c r="R242" i="1" s="1"/>
  <c r="M246" i="1"/>
  <c r="O246" i="1" s="1"/>
  <c r="P246" i="1" s="1"/>
  <c r="Q254" i="1"/>
  <c r="R254" i="1" s="1"/>
  <c r="M254" i="1"/>
  <c r="O254" i="1" s="1"/>
  <c r="P254" i="1" s="1"/>
  <c r="Q248" i="1"/>
  <c r="R248" i="1" s="1"/>
  <c r="M248" i="1"/>
  <c r="O248" i="1" s="1"/>
  <c r="P248" i="1" s="1"/>
  <c r="M228" i="1"/>
  <c r="O228" i="1" s="1"/>
  <c r="P228" i="1" s="1"/>
  <c r="Q228" i="1"/>
  <c r="R228" i="1" s="1"/>
  <c r="Q232" i="1"/>
  <c r="R232" i="1" s="1"/>
  <c r="M236" i="1"/>
  <c r="O236" i="1" s="1"/>
  <c r="P236" i="1" s="1"/>
  <c r="Q236" i="1"/>
  <c r="R236" i="1" s="1"/>
  <c r="Q240" i="1"/>
  <c r="R240" i="1" s="1"/>
  <c r="M244" i="1"/>
  <c r="O244" i="1" s="1"/>
  <c r="P244" i="1" s="1"/>
  <c r="M249" i="1"/>
  <c r="O249" i="1" s="1"/>
  <c r="P249" i="1" s="1"/>
  <c r="Q249" i="1"/>
  <c r="R249" i="1" s="1"/>
  <c r="M222" i="1"/>
  <c r="O222" i="1" s="1"/>
  <c r="P222" i="1" s="1"/>
  <c r="Q195" i="1"/>
  <c r="R195" i="1" s="1"/>
  <c r="Q207" i="1"/>
  <c r="R207" i="1" s="1"/>
  <c r="M207" i="1"/>
  <c r="O207" i="1" s="1"/>
  <c r="P207" i="1" s="1"/>
  <c r="Q211" i="1"/>
  <c r="R211" i="1" s="1"/>
  <c r="M211" i="1"/>
  <c r="O211" i="1" s="1"/>
  <c r="P211" i="1" s="1"/>
  <c r="M215" i="1"/>
  <c r="O215" i="1" s="1"/>
  <c r="P215" i="1" s="1"/>
  <c r="Q215" i="1"/>
  <c r="R215" i="1" s="1"/>
  <c r="M250" i="1"/>
  <c r="O250" i="1" s="1"/>
  <c r="P250" i="1" s="1"/>
  <c r="Q250" i="1"/>
  <c r="R250" i="1" s="1"/>
  <c r="Q191" i="1"/>
  <c r="R191" i="1" s="1"/>
  <c r="M237" i="1"/>
  <c r="O237" i="1" s="1"/>
  <c r="P237" i="1" s="1"/>
  <c r="Q237" i="1"/>
  <c r="R237" i="1" s="1"/>
  <c r="M241" i="1"/>
  <c r="O241" i="1" s="1"/>
  <c r="P241" i="1" s="1"/>
  <c r="Q241" i="1"/>
  <c r="R241" i="1" s="1"/>
  <c r="Q245" i="1"/>
  <c r="R245" i="1" s="1"/>
  <c r="M245" i="1"/>
  <c r="O245" i="1" s="1"/>
  <c r="P245" i="1" s="1"/>
  <c r="Q221" i="1"/>
  <c r="R221" i="1" s="1"/>
  <c r="M221" i="1"/>
  <c r="O221" i="1" s="1"/>
  <c r="P221" i="1" s="1"/>
  <c r="M225" i="1"/>
  <c r="Q219" i="1"/>
  <c r="M193" i="1"/>
  <c r="Q192" i="1"/>
  <c r="S215" i="1" l="1"/>
  <c r="S195" i="1"/>
  <c r="S211" i="1"/>
  <c r="Q229" i="1"/>
  <c r="R229" i="1" s="1"/>
  <c r="S229" i="1" s="1"/>
  <c r="Q233" i="1"/>
  <c r="R233" i="1" s="1"/>
  <c r="S233" i="1" s="1"/>
  <c r="S207" i="1"/>
  <c r="Q203" i="1"/>
  <c r="R203" i="1" s="1"/>
  <c r="S203" i="1" s="1"/>
  <c r="M199" i="1"/>
  <c r="O199" i="1" s="1"/>
  <c r="P199" i="1" s="1"/>
  <c r="S234" i="1"/>
  <c r="Q220" i="1"/>
  <c r="R220" i="1" s="1"/>
  <c r="M220" i="1"/>
  <c r="O220" i="1" s="1"/>
  <c r="P220" i="1" s="1"/>
  <c r="Q198" i="1"/>
  <c r="R198" i="1" s="1"/>
  <c r="M198" i="1"/>
  <c r="O198" i="1" s="1"/>
  <c r="P198" i="1" s="1"/>
  <c r="M239" i="1"/>
  <c r="O239" i="1" s="1"/>
  <c r="P239" i="1" s="1"/>
  <c r="Q239" i="1"/>
  <c r="R239" i="1" s="1"/>
  <c r="M192" i="1"/>
  <c r="O192" i="1" s="1"/>
  <c r="P192" i="1" s="1"/>
  <c r="Q224" i="1"/>
  <c r="R224" i="1" s="1"/>
  <c r="M224" i="1"/>
  <c r="O224" i="1" s="1"/>
  <c r="P224" i="1" s="1"/>
  <c r="Q193" i="1"/>
  <c r="R193" i="1" s="1"/>
  <c r="Q189" i="1"/>
  <c r="M189" i="1"/>
  <c r="O189" i="1" s="1"/>
  <c r="P189" i="1" s="1"/>
  <c r="Q235" i="1"/>
  <c r="R235" i="1" s="1"/>
  <c r="M235" i="1"/>
  <c r="O235" i="1" s="1"/>
  <c r="P235" i="1" s="1"/>
  <c r="Q243" i="1"/>
  <c r="R243" i="1" s="1"/>
  <c r="M243" i="1"/>
  <c r="O243" i="1" s="1"/>
  <c r="P243" i="1" s="1"/>
  <c r="M227" i="1"/>
  <c r="O227" i="1" s="1"/>
  <c r="P227" i="1" s="1"/>
  <c r="Q227" i="1"/>
  <c r="R227" i="1" s="1"/>
  <c r="Q231" i="1"/>
  <c r="R231" i="1" s="1"/>
  <c r="M231" i="1"/>
  <c r="O231" i="1" s="1"/>
  <c r="P231" i="1" s="1"/>
  <c r="O225" i="1"/>
  <c r="P225" i="1" s="1"/>
  <c r="M214" i="1"/>
  <c r="O214" i="1" s="1"/>
  <c r="P214" i="1" s="1"/>
  <c r="Q214" i="1"/>
  <c r="R214" i="1" s="1"/>
  <c r="M218" i="1"/>
  <c r="O218" i="1" s="1"/>
  <c r="P218" i="1" s="1"/>
  <c r="Q218" i="1"/>
  <c r="R218" i="1" s="1"/>
  <c r="Q210" i="1"/>
  <c r="R210" i="1" s="1"/>
  <c r="M210" i="1"/>
  <c r="O210" i="1" s="1"/>
  <c r="P210" i="1" s="1"/>
  <c r="M226" i="1"/>
  <c r="O226" i="1" s="1"/>
  <c r="P226" i="1" s="1"/>
  <c r="Q226" i="1"/>
  <c r="R226" i="1" s="1"/>
  <c r="M216" i="1"/>
  <c r="O216" i="1" s="1"/>
  <c r="P216" i="1" s="1"/>
  <c r="Q216" i="1"/>
  <c r="R216" i="1" s="1"/>
  <c r="Q206" i="1"/>
  <c r="R206" i="1" s="1"/>
  <c r="M206" i="1"/>
  <c r="O206" i="1" s="1"/>
  <c r="P206" i="1" s="1"/>
  <c r="Q223" i="1"/>
  <c r="R223" i="1" s="1"/>
  <c r="M223" i="1"/>
  <c r="O223" i="1" s="1"/>
  <c r="P223" i="1" s="1"/>
  <c r="Q225" i="1"/>
  <c r="R225" i="1" s="1"/>
  <c r="M212" i="1"/>
  <c r="O212" i="1" s="1"/>
  <c r="P212" i="1" s="1"/>
  <c r="Q212" i="1"/>
  <c r="R212" i="1" s="1"/>
  <c r="M202" i="1"/>
  <c r="O202" i="1" s="1"/>
  <c r="P202" i="1" s="1"/>
  <c r="Q202" i="1"/>
  <c r="R202" i="1" s="1"/>
  <c r="M213" i="1"/>
  <c r="O213" i="1" s="1"/>
  <c r="P213" i="1" s="1"/>
  <c r="Q213" i="1"/>
  <c r="R213" i="1" s="1"/>
  <c r="M190" i="1"/>
  <c r="O190" i="1" s="1"/>
  <c r="P190" i="1" s="1"/>
  <c r="Q190" i="1"/>
  <c r="S222" i="1"/>
  <c r="Q208" i="1"/>
  <c r="R208" i="1" s="1"/>
  <c r="M208" i="1"/>
  <c r="O208" i="1" s="1"/>
  <c r="P208" i="1" s="1"/>
  <c r="M219" i="1"/>
  <c r="O219" i="1" s="1"/>
  <c r="P219" i="1" s="1"/>
  <c r="Q194" i="1"/>
  <c r="R194" i="1" s="1"/>
  <c r="M194" i="1"/>
  <c r="O194" i="1" s="1"/>
  <c r="P194" i="1" s="1"/>
  <c r="Q209" i="1"/>
  <c r="R209" i="1" s="1"/>
  <c r="M209" i="1"/>
  <c r="O209" i="1" s="1"/>
  <c r="P209" i="1" s="1"/>
  <c r="M204" i="1"/>
  <c r="O204" i="1" s="1"/>
  <c r="P204" i="1" s="1"/>
  <c r="Q204" i="1"/>
  <c r="R204" i="1" s="1"/>
  <c r="M205" i="1"/>
  <c r="O205" i="1" s="1"/>
  <c r="P205" i="1" s="1"/>
  <c r="Q205" i="1"/>
  <c r="R205" i="1" s="1"/>
  <c r="O193" i="1"/>
  <c r="P193" i="1" s="1"/>
  <c r="Q200" i="1"/>
  <c r="R200" i="1" s="1"/>
  <c r="M200" i="1"/>
  <c r="O200" i="1" s="1"/>
  <c r="P200" i="1" s="1"/>
  <c r="M201" i="1"/>
  <c r="O201" i="1" s="1"/>
  <c r="P201" i="1" s="1"/>
  <c r="Q201" i="1"/>
  <c r="R201" i="1" s="1"/>
  <c r="Q196" i="1"/>
  <c r="R196" i="1" s="1"/>
  <c r="M196" i="1"/>
  <c r="O196" i="1" s="1"/>
  <c r="P196" i="1" s="1"/>
  <c r="Q247" i="1"/>
  <c r="R247" i="1" s="1"/>
  <c r="M247" i="1"/>
  <c r="O247" i="1" s="1"/>
  <c r="P247" i="1" s="1"/>
  <c r="Q197" i="1"/>
  <c r="R197" i="1" s="1"/>
  <c r="M197" i="1"/>
  <c r="O197" i="1" s="1"/>
  <c r="P197" i="1" s="1"/>
  <c r="S238" i="1"/>
  <c r="S246" i="1"/>
  <c r="S230" i="1"/>
  <c r="S245" i="1"/>
  <c r="S244" i="1"/>
  <c r="S237" i="1"/>
  <c r="S221" i="1"/>
  <c r="R192" i="1"/>
  <c r="S240" i="1"/>
  <c r="S236" i="1"/>
  <c r="S232" i="1"/>
  <c r="S228" i="1"/>
  <c r="R219" i="1"/>
  <c r="M217" i="1"/>
  <c r="S225" i="1" l="1"/>
  <c r="S214" i="1"/>
  <c r="S223" i="1"/>
  <c r="S218" i="1"/>
  <c r="S205" i="1"/>
  <c r="S224" i="1"/>
  <c r="S204" i="1"/>
  <c r="S201" i="1"/>
  <c r="S226" i="1"/>
  <c r="S212" i="1"/>
  <c r="S210" i="1"/>
  <c r="S220" i="1"/>
  <c r="S209" i="1"/>
  <c r="S243" i="1"/>
  <c r="S198" i="1"/>
  <c r="S235" i="1"/>
  <c r="S208" i="1"/>
  <c r="S213" i="1"/>
  <c r="S206" i="1"/>
  <c r="S231" i="1"/>
  <c r="S247" i="1"/>
  <c r="S239" i="1"/>
  <c r="Q217" i="1"/>
  <c r="R217" i="1" s="1"/>
  <c r="R189" i="1"/>
  <c r="S227" i="1"/>
  <c r="S216" i="1"/>
  <c r="S219" i="1"/>
  <c r="S192" i="1"/>
  <c r="O217" i="1"/>
  <c r="P217" i="1" s="1"/>
  <c r="R190" i="1"/>
  <c r="I16" i="3"/>
  <c r="H16" i="3"/>
  <c r="J15" i="3"/>
  <c r="G15" i="3" s="1"/>
  <c r="J14" i="3"/>
  <c r="F14" i="3" s="1"/>
  <c r="J13" i="3"/>
  <c r="J12" i="3"/>
  <c r="G12" i="3" s="1"/>
  <c r="J11" i="3"/>
  <c r="G11" i="3" s="1"/>
  <c r="J10" i="3"/>
  <c r="G10" i="3" s="1"/>
  <c r="J9" i="3"/>
  <c r="G9" i="3" s="1"/>
  <c r="C9" i="3" s="1"/>
  <c r="G4" i="3"/>
  <c r="G255" i="1"/>
  <c r="G188" i="1"/>
  <c r="N130" i="1"/>
  <c r="G130" i="1"/>
  <c r="G101" i="1"/>
  <c r="G72" i="1"/>
  <c r="N43" i="1"/>
  <c r="G43" i="1"/>
  <c r="Q255" i="1" l="1"/>
  <c r="N259" i="1"/>
  <c r="N258" i="1"/>
  <c r="S217" i="1"/>
  <c r="G259" i="1"/>
  <c r="G258" i="1"/>
  <c r="R255" i="1"/>
  <c r="F10" i="3"/>
  <c r="F9" i="3"/>
  <c r="F11" i="3"/>
  <c r="F15" i="3"/>
  <c r="J16" i="3"/>
  <c r="H23" i="3" s="1"/>
  <c r="K14" i="3" s="1"/>
  <c r="G14" i="3"/>
  <c r="F12" i="3"/>
  <c r="F13" i="3"/>
  <c r="G13" i="3"/>
  <c r="AS3" i="1" l="1"/>
  <c r="AR10" i="1"/>
  <c r="S255" i="1"/>
  <c r="E12" i="3"/>
  <c r="D14" i="3"/>
  <c r="E10" i="3"/>
  <c r="B10" i="3"/>
  <c r="D15" i="3"/>
  <c r="K15" i="3"/>
  <c r="AS10" i="1"/>
  <c r="B11" i="3"/>
  <c r="AS2" i="1"/>
  <c r="AR2" i="1"/>
  <c r="D12" i="3"/>
  <c r="D13" i="3"/>
  <c r="E9" i="3"/>
  <c r="D11" i="3"/>
  <c r="B15" i="3"/>
  <c r="E13" i="3"/>
  <c r="D10" i="3"/>
  <c r="E11" i="3"/>
  <c r="K10" i="3"/>
  <c r="D9" i="3"/>
  <c r="K11" i="3"/>
  <c r="B14" i="3"/>
  <c r="B9" i="3"/>
  <c r="E14" i="3"/>
  <c r="E15" i="3"/>
  <c r="K9" i="3"/>
  <c r="AR6" i="1"/>
  <c r="AR9" i="1"/>
  <c r="AR3" i="1"/>
  <c r="AS5" i="1"/>
  <c r="AS4" i="1"/>
  <c r="AR4" i="1"/>
  <c r="AS6" i="1"/>
  <c r="AR5" i="1"/>
  <c r="AS7" i="1"/>
  <c r="AR7" i="1"/>
  <c r="AS9" i="1"/>
  <c r="K12" i="3"/>
  <c r="B12" i="3"/>
  <c r="AS8" i="1"/>
  <c r="AR8" i="1"/>
  <c r="K13" i="3"/>
  <c r="B13" i="3"/>
  <c r="AQ2" i="1" l="1"/>
  <c r="AT2" i="1" s="1"/>
  <c r="AU2" i="1" s="1"/>
  <c r="AR11" i="1"/>
  <c r="AQ8" i="1"/>
  <c r="AT8" i="1" s="1"/>
  <c r="AU8" i="1" s="1"/>
  <c r="AS11" i="1"/>
  <c r="AQ4" i="1"/>
  <c r="AT4" i="1" s="1"/>
  <c r="AU4" i="1" s="1"/>
  <c r="AQ7" i="1"/>
  <c r="AT7" i="1" s="1"/>
  <c r="AU7" i="1" s="1"/>
  <c r="AQ5" i="1"/>
  <c r="AQ10" i="1"/>
  <c r="AT10" i="1" s="1"/>
  <c r="AU10" i="1" s="1"/>
  <c r="AQ9" i="1"/>
  <c r="AT9" i="1" s="1"/>
  <c r="AU9" i="1" s="1"/>
  <c r="AQ6" i="1"/>
  <c r="AT6" i="1" s="1"/>
  <c r="AU6" i="1" s="1"/>
  <c r="AQ3" i="1"/>
  <c r="AT3" i="1" s="1"/>
  <c r="AU3" i="1" s="1"/>
  <c r="AT5" i="1" l="1"/>
  <c r="AU5" i="1" s="1"/>
  <c r="AQ11" i="1"/>
  <c r="AT11" i="1" s="1"/>
  <c r="AU11" i="1"/>
</calcChain>
</file>

<file path=xl/sharedStrings.xml><?xml version="1.0" encoding="utf-8"?>
<sst xmlns="http://schemas.openxmlformats.org/spreadsheetml/2006/main" count="1417" uniqueCount="293">
  <si>
    <t>כמות חדרים</t>
  </si>
  <si>
    <t>סה"כ</t>
  </si>
  <si>
    <t>דירות לשוק חופשי</t>
  </si>
  <si>
    <t>משתכן ביחידות</t>
  </si>
  <si>
    <t>משתכן באחוזים</t>
  </si>
  <si>
    <t>ממוצע דירות קטנות/ גדולות</t>
  </si>
  <si>
    <t>שם ישוב:</t>
  </si>
  <si>
    <t>שם קבלן/יזם:</t>
  </si>
  <si>
    <t>מספר מתחם:</t>
  </si>
  <si>
    <t>מחיר מ"ר כולל מע"מ בש"ח (ללא הצמדה):</t>
  </si>
  <si>
    <t>מס' הגרלה:</t>
  </si>
  <si>
    <t>לא לשנות ולא להוסיף עמודות בתוך הטבלה!</t>
  </si>
  <si>
    <t>מספר יח"ד במתחם:</t>
  </si>
  <si>
    <t>מספר יח"ד במחיר למשתכן:</t>
  </si>
  <si>
    <t>אחוז דירות מחיר למשתכן:</t>
  </si>
  <si>
    <t>מספר/שם מבנה</t>
  </si>
  <si>
    <t>מספר מגרש בתב"ע</t>
  </si>
  <si>
    <t>מספר דירה</t>
  </si>
  <si>
    <t xml:space="preserve">טיפוס דירה (תשריט) </t>
  </si>
  <si>
    <t>קומה</t>
  </si>
  <si>
    <t>מספר חדרים</t>
  </si>
  <si>
    <t>שטח דירה (מטר)</t>
  </si>
  <si>
    <t>שטח מרפסת שמש ו/או שטח גינה צמודה</t>
  </si>
  <si>
    <t>שטח מחסן</t>
  </si>
  <si>
    <t>מספר חניות</t>
  </si>
  <si>
    <t>מחיר דירה
לפי
מחיר מ"ר עיקרי  בנוי ללא מקדמי קומות</t>
  </si>
  <si>
    <t>מכירה במסגרת מחיר מטרה (כן/לא)</t>
  </si>
  <si>
    <t xml:space="preserve">חישוב מחיר דירה לאחר תוספת/הפחת מקדמי קומות </t>
  </si>
  <si>
    <t>הערות</t>
  </si>
  <si>
    <t>מספר מחסן</t>
  </si>
  <si>
    <t>מס' דירה</t>
  </si>
  <si>
    <t>מס' מחסן</t>
  </si>
  <si>
    <t>שטח מחסן עם קירות</t>
  </si>
  <si>
    <t>מס' חניה</t>
  </si>
  <si>
    <t>A1</t>
  </si>
  <si>
    <t>A4-1</t>
  </si>
  <si>
    <t>לא</t>
  </si>
  <si>
    <t>A3</t>
  </si>
  <si>
    <t>A6-1</t>
  </si>
  <si>
    <t>כן</t>
  </si>
  <si>
    <t>A5-1</t>
  </si>
  <si>
    <t>A6-3</t>
  </si>
  <si>
    <t>A5-3</t>
  </si>
  <si>
    <t>A8-1</t>
  </si>
  <si>
    <t>A7-1</t>
  </si>
  <si>
    <t>A10</t>
  </si>
  <si>
    <t>A9</t>
  </si>
  <si>
    <t>A16-1</t>
  </si>
  <si>
    <t>A15-1</t>
  </si>
  <si>
    <t>A21-1</t>
  </si>
  <si>
    <t>A20-1</t>
  </si>
  <si>
    <t>A16-2</t>
  </si>
  <si>
    <t>A15-2</t>
  </si>
  <si>
    <t>A21-2</t>
  </si>
  <si>
    <t>A20-2</t>
  </si>
  <si>
    <t>A16-3</t>
  </si>
  <si>
    <t>A15-3</t>
  </si>
  <si>
    <t>A21-3</t>
  </si>
  <si>
    <t>A20-3</t>
  </si>
  <si>
    <t>A16-4</t>
  </si>
  <si>
    <t>A15-4</t>
  </si>
  <si>
    <t>A21-4</t>
  </si>
  <si>
    <t>A20-4</t>
  </si>
  <si>
    <t>A22</t>
  </si>
  <si>
    <t>A27</t>
  </si>
  <si>
    <t>שטח דירה ממוצע בבניין</t>
  </si>
  <si>
    <t>אחוז דירות מחיר למשתכן בבניין</t>
  </si>
  <si>
    <t>A2</t>
  </si>
  <si>
    <t>A4-2</t>
  </si>
  <si>
    <t>A4-3</t>
  </si>
  <si>
    <t>A11</t>
  </si>
  <si>
    <t>A12</t>
  </si>
  <si>
    <t>A17-1</t>
  </si>
  <si>
    <t>A19-1</t>
  </si>
  <si>
    <t>A17-2</t>
  </si>
  <si>
    <t>A19-2</t>
  </si>
  <si>
    <t>A17-3</t>
  </si>
  <si>
    <t>A19-3</t>
  </si>
  <si>
    <t>A17-4</t>
  </si>
  <si>
    <t>A19-4</t>
  </si>
  <si>
    <t>A23</t>
  </si>
  <si>
    <t>A26</t>
  </si>
  <si>
    <t>A1-1</t>
  </si>
  <si>
    <t>-5 + -4</t>
  </si>
  <si>
    <t>A1-2</t>
  </si>
  <si>
    <t>A6-2</t>
  </si>
  <si>
    <t>A5-2</t>
  </si>
  <si>
    <t>A5-4</t>
  </si>
  <si>
    <t>A7-2</t>
  </si>
  <si>
    <t>A13</t>
  </si>
  <si>
    <t>A14</t>
  </si>
  <si>
    <t>A18-1</t>
  </si>
  <si>
    <t>A18-2</t>
  </si>
  <si>
    <t>A18-3</t>
  </si>
  <si>
    <t>A18-4</t>
  </si>
  <si>
    <t>A24</t>
  </si>
  <si>
    <t>A25</t>
  </si>
  <si>
    <t>B1</t>
  </si>
  <si>
    <t>B1-1</t>
  </si>
  <si>
    <t>B2-1</t>
  </si>
  <si>
    <t>B3</t>
  </si>
  <si>
    <t>B4</t>
  </si>
  <si>
    <t>B5</t>
  </si>
  <si>
    <t>B6</t>
  </si>
  <si>
    <t>B7-1</t>
  </si>
  <si>
    <t>B8-1</t>
  </si>
  <si>
    <t>B7-2</t>
  </si>
  <si>
    <t>B8-2</t>
  </si>
  <si>
    <t>B9-1</t>
  </si>
  <si>
    <t>B10-1</t>
  </si>
  <si>
    <t>B12-1</t>
  </si>
  <si>
    <t>B11-1</t>
  </si>
  <si>
    <t>B9-2</t>
  </si>
  <si>
    <t>B10-2</t>
  </si>
  <si>
    <t>B12-3</t>
  </si>
  <si>
    <t>B11-2</t>
  </si>
  <si>
    <t>B13-1</t>
  </si>
  <si>
    <t>B14-1</t>
  </si>
  <si>
    <t>B12-4</t>
  </si>
  <si>
    <t>B11-3</t>
  </si>
  <si>
    <t>B13-2</t>
  </si>
  <si>
    <t>B14-2</t>
  </si>
  <si>
    <t>B12-5</t>
  </si>
  <si>
    <t>B11-4</t>
  </si>
  <si>
    <t>B15</t>
  </si>
  <si>
    <t>B16</t>
  </si>
  <si>
    <t>B2</t>
  </si>
  <si>
    <t>B1-2</t>
  </si>
  <si>
    <t>B2-2</t>
  </si>
  <si>
    <t>B12-2</t>
  </si>
  <si>
    <t>C1</t>
  </si>
  <si>
    <t>C1-1</t>
  </si>
  <si>
    <t>-4 + -3</t>
  </si>
  <si>
    <t>C1-2</t>
  </si>
  <si>
    <t>C1-3-1</t>
  </si>
  <si>
    <t>C1-4-1</t>
  </si>
  <si>
    <t>C1-3-2</t>
  </si>
  <si>
    <t>C1-4-2</t>
  </si>
  <si>
    <t>C1-3-3</t>
  </si>
  <si>
    <t>C1-4-3</t>
  </si>
  <si>
    <t>C1-3-4</t>
  </si>
  <si>
    <t>C1-4-4</t>
  </si>
  <si>
    <t>C1-3-5</t>
  </si>
  <si>
    <t>C1-4-5</t>
  </si>
  <si>
    <t>C1-5-1</t>
  </si>
  <si>
    <t>C1-6-1</t>
  </si>
  <si>
    <t>C1-7-1</t>
  </si>
  <si>
    <t>C1-8-1</t>
  </si>
  <si>
    <t>C1-5-2</t>
  </si>
  <si>
    <t>C1-6-2</t>
  </si>
  <si>
    <t>C1-7-2</t>
  </si>
  <si>
    <t>C1-8-2</t>
  </si>
  <si>
    <t>C1-5-3</t>
  </si>
  <si>
    <t>C1-6-3</t>
  </si>
  <si>
    <t>C1-7-3</t>
  </si>
  <si>
    <t>C1-8-3</t>
  </si>
  <si>
    <t>C1-10</t>
  </si>
  <si>
    <t>C1-9</t>
  </si>
  <si>
    <t>C1-11</t>
  </si>
  <si>
    <t>C1-12</t>
  </si>
  <si>
    <t>C3</t>
  </si>
  <si>
    <t>C3-1-1</t>
  </si>
  <si>
    <t>C3-2</t>
  </si>
  <si>
    <t>-4 + -5</t>
  </si>
  <si>
    <t>C3-3-1</t>
  </si>
  <si>
    <t>C3-1-2</t>
  </si>
  <si>
    <t>C3-3-2</t>
  </si>
  <si>
    <t>C3-1-3</t>
  </si>
  <si>
    <t>C3-4-1</t>
  </si>
  <si>
    <t>C3-3-3</t>
  </si>
  <si>
    <t>C3-1-4</t>
  </si>
  <si>
    <t>C3-4-2</t>
  </si>
  <si>
    <t>C3-3-4</t>
  </si>
  <si>
    <t>C3-1-5</t>
  </si>
  <si>
    <t>C3-4-3</t>
  </si>
  <si>
    <t>C3-3-5</t>
  </si>
  <si>
    <t>C3-1-6</t>
  </si>
  <si>
    <t>קרקע</t>
  </si>
  <si>
    <t>C3-5-1</t>
  </si>
  <si>
    <t>C3-3-6</t>
  </si>
  <si>
    <t>C3-1-7</t>
  </si>
  <si>
    <t>קרקע עליונה</t>
  </si>
  <si>
    <t>C3-5-2</t>
  </si>
  <si>
    <t>C3-3-7</t>
  </si>
  <si>
    <t>C3-1-8</t>
  </si>
  <si>
    <t>C3-5-3</t>
  </si>
  <si>
    <t>C3-6</t>
  </si>
  <si>
    <t>C3-7-1</t>
  </si>
  <si>
    <t>C3-8-1</t>
  </si>
  <si>
    <t>C3-9-1</t>
  </si>
  <si>
    <t>C3-22</t>
  </si>
  <si>
    <t>C3-10-1</t>
  </si>
  <si>
    <t>C3-11</t>
  </si>
  <si>
    <t>C3-7-2</t>
  </si>
  <si>
    <t>C3-8-2</t>
  </si>
  <si>
    <t>C3-9-2</t>
  </si>
  <si>
    <t>C3-12-1</t>
  </si>
  <si>
    <t>C3-10-2</t>
  </si>
  <si>
    <t>C3-13-1</t>
  </si>
  <si>
    <t>C3-7-3</t>
  </si>
  <si>
    <t>C3-8-3</t>
  </si>
  <si>
    <t>C3-9-3</t>
  </si>
  <si>
    <t>C3-12-2</t>
  </si>
  <si>
    <t>C3-10-3</t>
  </si>
  <si>
    <t>C3-13-2</t>
  </si>
  <si>
    <t>C3-7-4</t>
  </si>
  <si>
    <t>C3-8-4</t>
  </si>
  <si>
    <t>C3-9-4</t>
  </si>
  <si>
    <t>C3-14</t>
  </si>
  <si>
    <t>C3-15</t>
  </si>
  <si>
    <t>C3-7-5</t>
  </si>
  <si>
    <t>C3-8-5</t>
  </si>
  <si>
    <t>C3-9-5</t>
  </si>
  <si>
    <t>C3-16</t>
  </si>
  <si>
    <t>C3-17</t>
  </si>
  <si>
    <t>C3-18</t>
  </si>
  <si>
    <t>C3-20</t>
  </si>
  <si>
    <t>סה"כ שטח דירות מחיר למשתכן במתחם</t>
  </si>
  <si>
    <t>מספר דירות מחיר למשתכן</t>
  </si>
  <si>
    <t>שטח דירה ממוצע במתחם</t>
  </si>
  <si>
    <t>אחוז דירות מחיר למשתכן</t>
  </si>
  <si>
    <t>הנחיות  למילוי נספח ג4</t>
  </si>
  <si>
    <t xml:space="preserve">מספר עמודה </t>
  </si>
  <si>
    <t>נושא</t>
  </si>
  <si>
    <t>הסבר</t>
  </si>
  <si>
    <t>K</t>
  </si>
  <si>
    <t xml:space="preserve">מחיר דירה לפי מחיר מ"ר עיקרי  בנוי </t>
  </si>
  <si>
    <t>חישוב מחיר דירה לפי מכרז מחיר מטרה:
שטח דירה במטרים - מוכפל במחיר למטר כולל מע"מ בש"ח +
שטח מרפסת שמש ו/או שטח גינה - מוכפל ב- X% מחיר למטר כולל מע"מ בש"ח  + 
שטח מחסן - מוכפל ב- X% מחיר למטר כולל מע"מ בש"ח +
מספר חניות - מוכפל ב- X%  מחיר למטר כולל מע"מ בש"ח 
האחוזים יכולים להיות שונים ממכרז למכרז וכמו כן גם שינויים נוספים בתמחורי הדירות כגון מקדמי קומות וכדומה. באחריות הקבלן להוסיף נוסחא לחישוב מחיר הדירה!!!</t>
  </si>
  <si>
    <t>L</t>
  </si>
  <si>
    <t xml:space="preserve">יש לסמן  20% מכלל הדירות היקרות ביותר בכל בניין יוחרגו מראש בהתאם לשיקול דעתו הבלעדי של המשרד. דירות כאמור, ככל ויוחרגו, יאושרו מראש למכירה בשוק החופשי, והן תחושבנה כחלק ממכסת הדירות המיועדות למכירה בשוק החופשי, ולא יעמדו לבחירת הזכאים.	
לטובת קביעת הדירות שיוחרגו, יציג היזם על גבי נספח ג'4, את מחירי כלל הדירות בפרויקט
בהתאם לתחשיב המתבסס על מחיר מ"ר בנוי עיקרי שנקבע במכרז, ללא הנחה או הפחתה ( עמודה K).	 
לאחר ההחרגה כאמור, תועמד יתרת הדירות בפרויקט לבחירת הזכאים למשך תקופה של 3 חודשים מיום הבחירה הראשון, ממנה יבחרו את הדירה אשר ירכשו במסגרת מחיר מטרה, עליה תינתן הנחה כפי שנקבע במכרז. 	
</t>
  </si>
  <si>
    <t>M</t>
  </si>
  <si>
    <t>בבנין רב קומות כהגדרתו בתקנות התכנון והבנייה, המחיר למ"ר בנוי עיקרי משקף את מחירה של דירה בקומת המגורים האמצעית, או 2 הקומות האמצעיות בבניין שבו מספר זוגי של קומות מגורים. לצורך חישוב מקדמי הקומות יילקחו בחשבון קומות הכוללות לפחות 2 דירות מגורים בקומה. כל דירה הממוקמת בקומה הגבוהה מקומת/קומות המגורים האמצעית תחושב בתוספת חצי אחוז לכל קומה מעל הקומה/קומות האמצעיות ועד 5% תוספת לכל היותר למ"ר בנוי עיקרי. כל דירה הממוקמת בקומה נמוכה מקומת/קומות המגורים האמצעית תחושב בהפחתה של חצי אחוז לקומה ועד 5% הפחתה לכל היותר למ"ר בנוי עיקרי. יובהר כי כל דירה הממוקמת מעל או מתחת לקומה הכוללת את הסטייה המקסימלית של 5%, תחושב עם הסטיה המקסימלית של 5% מהמחיר למ"ר בנוי עיקרי בלבד.  יש לסמן את הקומה/קומות האמצעיות!!</t>
  </si>
  <si>
    <t xml:space="preserve">כללי </t>
  </si>
  <si>
    <t>חלוקת תמהיל הדירות</t>
  </si>
  <si>
    <t xml:space="preserve">סך של 20%, שהן הדירות היקרות בפרויקט, יוקצו למכירה בשוק החופשי.
מיתרת הדירות, תבוצע החלוקה ביחס הנותר, לאחר הפחתת הדירות היקרות ממכסת השוק החופשי, בין דירות מחיר מטרה לדירות השוק החופשי. 
הדירות הנותרות יחולקו לקבוצות, בהתאם למספר החדרים בדירה. כך, שיחס דירות מחיר מטרה בכל קבוצה יהיה בהתאם ליחס החלוקה שנותר. יובהר כי בכל אחת מהקבוצות, ככלל, הדירות שיוקצו לזכאי מחיר מטרה, יהיו הזולות ביותר מכלל הדירות בקבוצה.
יובהר כי במקרה של יחס עם שארית (כל שארית), יעוגל מספר הדירות כך שתועדף הקצאה של דירה קטנה יותר לטובת הקצאה לדירות מחיר מטרה.  
על אף האמור לעיל, יורשה המשרד – מיוזמתו ובהתאם לשיקול דעתו הבלעדי – לבצע שינוי בחלוקה  המפורטת – 10% מסך כלל הדירות בפרויקט (לרבות דירות השוק החופשי, ודירות בהקלה ככל ויאושרו).    </t>
  </si>
  <si>
    <t>מספר בניין</t>
  </si>
  <si>
    <t>יחס שוק חופשי</t>
  </si>
  <si>
    <t>אחוז מינמלי לשוק חופשי</t>
  </si>
  <si>
    <t>אחוז מקסימלי לשוק חופשי</t>
  </si>
  <si>
    <t>אחוז יח"ד שוק חופשי</t>
  </si>
  <si>
    <t>אחוז יח"ד משתכן</t>
  </si>
  <si>
    <t>יח"ד משתכן</t>
  </si>
  <si>
    <t>יח"ד שוק חופשי</t>
  </si>
  <si>
    <t>סה"כ דירות</t>
  </si>
  <si>
    <t>אחוז שוק חופשי במתחם</t>
  </si>
  <si>
    <t>C3-19</t>
  </si>
  <si>
    <t>C3-21</t>
  </si>
  <si>
    <t>6+7</t>
  </si>
  <si>
    <t>C3-23</t>
  </si>
  <si>
    <t>אלעד</t>
  </si>
  <si>
    <t>24C1</t>
  </si>
  <si>
    <t>25C1</t>
  </si>
  <si>
    <t>27C1</t>
  </si>
  <si>
    <t>65C3</t>
  </si>
  <si>
    <t>3C1</t>
  </si>
  <si>
    <t>19C1</t>
  </si>
  <si>
    <t>20C1</t>
  </si>
  <si>
    <t>23C1</t>
  </si>
  <si>
    <t>26C1</t>
  </si>
  <si>
    <t>28C1</t>
  </si>
  <si>
    <t>33C3</t>
  </si>
  <si>
    <t>34C3</t>
  </si>
  <si>
    <t>30C3</t>
  </si>
  <si>
    <t>31C3</t>
  </si>
  <si>
    <t>66C3</t>
  </si>
  <si>
    <t>60C3</t>
  </si>
  <si>
    <t>61C3</t>
  </si>
  <si>
    <t>62C3</t>
  </si>
  <si>
    <t>55C3</t>
  </si>
  <si>
    <t>56C3</t>
  </si>
  <si>
    <t>57C3</t>
  </si>
  <si>
    <t>מקדם</t>
  </si>
  <si>
    <t>שטח דירה</t>
  </si>
  <si>
    <t>מרפסת עד 30 מ"ר</t>
  </si>
  <si>
    <t>מרפסת בין 31-60 מ"ר</t>
  </si>
  <si>
    <t>מרפסת בין 120-61 מ"ר</t>
  </si>
  <si>
    <t>מרפסת מעל 121</t>
  </si>
  <si>
    <t>מקדם קומה</t>
  </si>
  <si>
    <t>26 -C1</t>
  </si>
  <si>
    <t>27-C1</t>
  </si>
  <si>
    <t>29-C1</t>
  </si>
  <si>
    <t>מחיר דירת מחיר מטרה (חישוב מחיר דירה לאחר הנחה בסך 25%)</t>
  </si>
  <si>
    <t xml:space="preserve">מחיר הדירה המעודכן לפי שומה עדכנית </t>
  </si>
  <si>
    <t>מחיר הדירה לפי שומה עדכנית לאחר הפחתה של 500 אש"ח</t>
  </si>
  <si>
    <t>מחיר דירה סופי</t>
  </si>
  <si>
    <t>מגבלת הנחה -1</t>
  </si>
  <si>
    <t>מגבלת הנחה - 2</t>
  </si>
  <si>
    <t>שווי לבדיקה כולל מע"מ - עדכני</t>
  </si>
  <si>
    <t>אלקטרה מגורים בע"מ</t>
  </si>
  <si>
    <t>שטח דירה עד מקסימום</t>
  </si>
  <si>
    <t>שטח דירה סופי לחישוב</t>
  </si>
  <si>
    <t>תקין</t>
  </si>
  <si>
    <t>הצהרה על דירות - לפי מכרז מחיר מטרה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</si>
</sst>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quot;\ * #,##0_ ;_ &quot;₪&quot;\ * \-#,##0_ ;_ &quot;₪&quot;\ * &quot;-&quot;??_ ;_ @_ "/>
    <numFmt numFmtId="165" formatCode="0.0%"/>
    <numFmt numFmtId="166" formatCode="0.0"/>
    <numFmt numFmtId="167" formatCode="&quot;₪&quot;\ #,##0"/>
  </numFmts>
  <fonts count="39" x14ac:knownFonts="1">
    <font>
      <sz val="11"/>
      <color theme="1"/>
      <name val="Calibri"/>
      <scheme val="minor"/>
    </font>
    <font>
      <sz val="11"/>
      <color theme="1"/>
      <name val="Calibri"/>
      <family val="2"/>
      <scheme val="minor"/>
    </font>
    <font>
      <sz val="11"/>
      <color theme="1"/>
      <name val="Calibri"/>
      <family val="2"/>
      <charset val="177"/>
      <scheme val="minor"/>
    </font>
    <font>
      <b/>
      <sz val="11"/>
      <color theme="1"/>
      <name val="Calibri"/>
      <family val="2"/>
    </font>
    <font>
      <b/>
      <u/>
      <sz val="14"/>
      <color rgb="FF1F497D"/>
      <name val="Calibri"/>
      <family val="2"/>
    </font>
    <font>
      <b/>
      <sz val="11"/>
      <color rgb="FFFF0000"/>
      <name val="Calibri"/>
      <family val="2"/>
    </font>
    <font>
      <sz val="11"/>
      <color theme="1"/>
      <name val="Calibri"/>
      <family val="2"/>
    </font>
    <font>
      <sz val="10"/>
      <color rgb="FF000000"/>
      <name val="Calibri"/>
      <family val="2"/>
    </font>
    <font>
      <sz val="11"/>
      <name val="Calibri"/>
      <family val="2"/>
    </font>
    <font>
      <b/>
      <sz val="18"/>
      <color rgb="FFFF0000"/>
      <name val="Calibri"/>
      <family val="2"/>
    </font>
    <font>
      <sz val="12"/>
      <color rgb="FF000000"/>
      <name val="Calibri"/>
      <family val="2"/>
    </font>
    <font>
      <b/>
      <sz val="11"/>
      <color rgb="FF1F497D"/>
      <name val="Calibri"/>
      <family val="2"/>
    </font>
    <font>
      <b/>
      <sz val="11"/>
      <color rgb="FF1F497D"/>
      <name val="Arial"/>
      <family val="2"/>
    </font>
    <font>
      <sz val="11"/>
      <color rgb="FF000000"/>
      <name val="Arial"/>
      <family val="2"/>
    </font>
    <font>
      <b/>
      <sz val="11"/>
      <color rgb="FF0070C0"/>
      <name val="Calibri"/>
      <family val="2"/>
    </font>
    <font>
      <sz val="11"/>
      <color rgb="FF1F497D"/>
      <name val="Calibri"/>
      <family val="2"/>
    </font>
    <font>
      <sz val="12"/>
      <color theme="1"/>
      <name val="Calibri"/>
      <family val="2"/>
    </font>
    <font>
      <b/>
      <sz val="12"/>
      <color theme="1"/>
      <name val="Calibri"/>
      <family val="2"/>
    </font>
    <font>
      <b/>
      <sz val="16"/>
      <color theme="1"/>
      <name val="Calibri"/>
      <family val="2"/>
    </font>
    <font>
      <sz val="22"/>
      <color theme="1"/>
      <name val="Calibri"/>
      <family val="2"/>
    </font>
    <font>
      <b/>
      <sz val="12"/>
      <color rgb="FF1F497D"/>
      <name val="David"/>
      <family val="2"/>
      <charset val="177"/>
    </font>
    <font>
      <b/>
      <sz val="14"/>
      <color rgb="FFFF0000"/>
      <name val="Calibri"/>
      <family val="2"/>
    </font>
    <font>
      <b/>
      <sz val="11"/>
      <color theme="0"/>
      <name val="Calibri"/>
      <family val="2"/>
    </font>
    <font>
      <sz val="8"/>
      <name val="Calibri"/>
      <family val="2"/>
      <scheme val="minor"/>
    </font>
    <font>
      <sz val="11"/>
      <color theme="1"/>
      <name val="Calibri"/>
      <family val="2"/>
      <scheme val="minor"/>
    </font>
    <font>
      <b/>
      <sz val="11"/>
      <color theme="1"/>
      <name val="Calibri"/>
      <family val="2"/>
      <scheme val="minor"/>
    </font>
    <font>
      <sz val="11"/>
      <name val="Calibri"/>
      <family val="2"/>
    </font>
    <font>
      <sz val="11"/>
      <color theme="1"/>
      <name val="Calibri"/>
      <family val="2"/>
      <scheme val="minor"/>
    </font>
    <font>
      <sz val="11"/>
      <color theme="1"/>
      <name val="Arial"/>
      <family val="2"/>
      <charset val="177"/>
    </font>
    <font>
      <sz val="11"/>
      <color rgb="FF000000"/>
      <name val="Calibri"/>
      <family val="2"/>
      <scheme val="major"/>
    </font>
    <font>
      <sz val="11"/>
      <color theme="1"/>
      <name val="Calibri"/>
      <scheme val="minor"/>
    </font>
    <font>
      <sz val="11"/>
      <color theme="1"/>
      <name val="Calibri"/>
    </font>
    <font>
      <sz val="11"/>
      <color rgb="FF000000"/>
      <name val="Arial"/>
    </font>
    <font>
      <b/>
      <sz val="12"/>
      <color theme="1"/>
      <name val="Calibri"/>
      <family val="2"/>
      <scheme val="minor"/>
    </font>
    <font>
      <b/>
      <sz val="14"/>
      <color theme="1"/>
      <name val="Calibri"/>
      <family val="2"/>
    </font>
    <font>
      <b/>
      <sz val="14"/>
      <color theme="1"/>
      <name val="Calibri"/>
      <family val="2"/>
      <scheme val="minor"/>
    </font>
    <font>
      <b/>
      <u/>
      <sz val="26"/>
      <name val="Calibri"/>
      <family val="2"/>
    </font>
    <font>
      <b/>
      <sz val="26"/>
      <name val="Calibri"/>
      <family val="2"/>
      <scheme val="minor"/>
    </font>
    <font>
      <sz val="26"/>
      <color theme="1"/>
      <name val="Calibri"/>
      <family val="2"/>
      <scheme val="minor"/>
    </font>
  </fonts>
  <fills count="18">
    <fill>
      <patternFill patternType="none"/>
    </fill>
    <fill>
      <patternFill patternType="gray125"/>
    </fill>
    <fill>
      <patternFill patternType="solid">
        <fgColor rgb="FFCCFF66"/>
        <bgColor rgb="FFCCFF66"/>
      </patternFill>
    </fill>
    <fill>
      <patternFill patternType="solid">
        <fgColor rgb="FFFFFF00"/>
        <bgColor rgb="FFFFFF00"/>
      </patternFill>
    </fill>
    <fill>
      <patternFill patternType="solid">
        <fgColor rgb="FFFFFFCC"/>
        <bgColor rgb="FFFFFFCC"/>
      </patternFill>
    </fill>
    <fill>
      <patternFill patternType="solid">
        <fgColor rgb="FFB8CCE4"/>
        <bgColor rgb="FFB8CCE4"/>
      </patternFill>
    </fill>
    <fill>
      <patternFill patternType="solid">
        <fgColor rgb="FFFF0000"/>
        <bgColor rgb="FFFF0000"/>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5" tint="0.39997558519241921"/>
        <bgColor rgb="FFD99594"/>
      </patternFill>
    </fill>
    <fill>
      <patternFill patternType="solid">
        <fgColor theme="0"/>
        <bgColor rgb="FFD9D9D9"/>
      </patternFill>
    </fill>
    <fill>
      <patternFill patternType="solid">
        <fgColor theme="0"/>
        <bgColor rgb="FFFFFFFF"/>
      </patternFill>
    </fill>
  </fills>
  <borders count="79">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rgb="FF000000"/>
      </left>
      <right style="thin">
        <color rgb="FF000000"/>
      </right>
      <top style="thin">
        <color rgb="FF000000"/>
      </top>
      <bottom/>
      <diagonal/>
    </border>
    <border>
      <left/>
      <right style="thin">
        <color rgb="FF7F7F7F"/>
      </right>
      <top style="thin">
        <color rgb="FF7F7F7F"/>
      </top>
      <bottom style="thin">
        <color rgb="FF7F7F7F"/>
      </bottom>
      <diagonal/>
    </border>
    <border>
      <left/>
      <right/>
      <top/>
      <bottom style="medium">
        <color rgb="FF000000"/>
      </bottom>
      <diagonal/>
    </border>
    <border>
      <left/>
      <right/>
      <top style="thin">
        <color rgb="FF7F7F7F"/>
      </top>
      <bottom style="thin">
        <color rgb="FF7F7F7F"/>
      </bottom>
      <diagonal/>
    </border>
    <border>
      <left style="thin">
        <color rgb="FF7F7F7F"/>
      </left>
      <right style="thin">
        <color rgb="FF7F7F7F"/>
      </right>
      <top style="thin">
        <color rgb="FF7F7F7F"/>
      </top>
      <bottom/>
      <diagonal/>
    </border>
    <border>
      <left/>
      <right/>
      <top/>
      <bottom/>
      <diagonal/>
    </border>
    <border>
      <left/>
      <right/>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top style="medium">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style="medium">
        <color rgb="FF000000"/>
      </bottom>
      <diagonal/>
    </border>
    <border>
      <left style="medium">
        <color rgb="FF000000"/>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bottom style="medium">
        <color rgb="FF000000"/>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s>
  <cellStyleXfs count="23">
    <xf numFmtId="0" fontId="0" fillId="0" borderId="0"/>
    <xf numFmtId="0" fontId="24" fillId="0" borderId="27"/>
    <xf numFmtId="9" fontId="24" fillId="0" borderId="0" applyFont="0" applyFill="0" applyBorder="0" applyAlignment="0" applyProtection="0"/>
    <xf numFmtId="0" fontId="30" fillId="0" borderId="27"/>
    <xf numFmtId="0" fontId="30" fillId="0" borderId="27"/>
    <xf numFmtId="0" fontId="30" fillId="0" borderId="27"/>
    <xf numFmtId="0" fontId="30" fillId="0" borderId="27"/>
    <xf numFmtId="0" fontId="30" fillId="0" borderId="27"/>
    <xf numFmtId="0" fontId="30" fillId="0" borderId="27"/>
    <xf numFmtId="0" fontId="30" fillId="0" borderId="27"/>
    <xf numFmtId="0" fontId="30" fillId="0" borderId="27"/>
    <xf numFmtId="0" fontId="30" fillId="0" borderId="27"/>
    <xf numFmtId="0" fontId="30" fillId="0" borderId="27"/>
    <xf numFmtId="0" fontId="30" fillId="0" borderId="27"/>
    <xf numFmtId="0" fontId="30" fillId="0" borderId="27"/>
    <xf numFmtId="0" fontId="30" fillId="0" borderId="27"/>
    <xf numFmtId="0" fontId="30" fillId="0" borderId="27"/>
    <xf numFmtId="0" fontId="30" fillId="0" borderId="27"/>
    <xf numFmtId="0" fontId="30" fillId="0" borderId="27"/>
    <xf numFmtId="0" fontId="30" fillId="0" borderId="27"/>
    <xf numFmtId="0" fontId="30" fillId="0" borderId="27"/>
    <xf numFmtId="0" fontId="30" fillId="0" borderId="27"/>
    <xf numFmtId="0" fontId="30" fillId="0" borderId="27"/>
  </cellStyleXfs>
  <cellXfs count="323">
    <xf numFmtId="0" fontId="0" fillId="0" borderId="0" xfId="0"/>
    <xf numFmtId="164" fontId="3" fillId="2" borderId="2" xfId="0" applyNumberFormat="1" applyFont="1" applyFill="1" applyBorder="1" applyAlignment="1">
      <alignment horizontal="center" wrapText="1"/>
    </xf>
    <xf numFmtId="164" fontId="3" fillId="2" borderId="3" xfId="0" applyNumberFormat="1" applyFont="1" applyFill="1" applyBorder="1" applyAlignment="1">
      <alignment horizontal="center" wrapText="1"/>
    </xf>
    <xf numFmtId="0" fontId="4" fillId="0" borderId="0" xfId="0" applyFont="1"/>
    <xf numFmtId="0" fontId="7" fillId="2" borderId="5" xfId="0" applyFont="1" applyFill="1" applyBorder="1" applyAlignment="1">
      <alignment horizontal="center" vertical="center"/>
    </xf>
    <xf numFmtId="0" fontId="3" fillId="0" borderId="0" xfId="0" applyFont="1"/>
    <xf numFmtId="0" fontId="6" fillId="0" borderId="0" xfId="0" applyFont="1"/>
    <xf numFmtId="0" fontId="7" fillId="2" borderId="8" xfId="0" applyFont="1" applyFill="1" applyBorder="1" applyAlignment="1">
      <alignment horizontal="center" vertical="center"/>
    </xf>
    <xf numFmtId="0" fontId="9" fillId="3" borderId="10" xfId="0" applyFont="1" applyFill="1" applyBorder="1"/>
    <xf numFmtId="3" fontId="6" fillId="0" borderId="0" xfId="0" applyNumberFormat="1" applyFont="1"/>
    <xf numFmtId="0" fontId="7" fillId="2" borderId="13" xfId="0" applyFont="1" applyFill="1" applyBorder="1" applyAlignment="1">
      <alignment horizontal="center" vertical="center"/>
    </xf>
    <xf numFmtId="9" fontId="6" fillId="0" borderId="0" xfId="0" applyNumberFormat="1" applyFont="1"/>
    <xf numFmtId="10" fontId="7" fillId="4" borderId="2" xfId="0" applyNumberFormat="1" applyFont="1" applyFill="1" applyBorder="1" applyAlignment="1">
      <alignment horizontal="center" vertical="center"/>
    </xf>
    <xf numFmtId="0" fontId="3" fillId="0" borderId="0" xfId="0" applyFont="1" applyAlignment="1">
      <alignment horizontal="center"/>
    </xf>
    <xf numFmtId="1" fontId="6" fillId="0" borderId="0" xfId="0" applyNumberFormat="1" applyFont="1"/>
    <xf numFmtId="0" fontId="11" fillId="0" borderId="0" xfId="0" applyFont="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6" fillId="0" borderId="16" xfId="0" applyFont="1" applyBorder="1" applyAlignment="1">
      <alignment horizontal="center"/>
    </xf>
    <xf numFmtId="49" fontId="6" fillId="0" borderId="17" xfId="0" applyNumberFormat="1" applyFont="1" applyBorder="1" applyAlignment="1">
      <alignment horizontal="center"/>
    </xf>
    <xf numFmtId="0" fontId="6" fillId="0" borderId="8" xfId="0" applyFont="1" applyBorder="1"/>
    <xf numFmtId="0" fontId="6" fillId="0" borderId="0" xfId="0" applyFont="1" applyAlignment="1">
      <alignment vertical="center"/>
    </xf>
    <xf numFmtId="0" fontId="6" fillId="0" borderId="7" xfId="0" applyFont="1" applyBorder="1" applyAlignment="1">
      <alignment horizontal="center"/>
    </xf>
    <xf numFmtId="0" fontId="6" fillId="0" borderId="8" xfId="0" applyFont="1" applyBorder="1" applyAlignment="1">
      <alignment horizontal="center"/>
    </xf>
    <xf numFmtId="2" fontId="6" fillId="0" borderId="8" xfId="0" applyNumberFormat="1" applyFont="1" applyBorder="1" applyAlignment="1">
      <alignment horizontal="center" vertical="center"/>
    </xf>
    <xf numFmtId="49" fontId="6" fillId="0" borderId="9" xfId="0" applyNumberFormat="1" applyFont="1" applyBorder="1" applyAlignment="1">
      <alignment horizontal="center"/>
    </xf>
    <xf numFmtId="0" fontId="6" fillId="0" borderId="9" xfId="0" applyFont="1" applyBorder="1" applyAlignment="1">
      <alignment horizontal="center" vertic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vertical="center"/>
    </xf>
    <xf numFmtId="0" fontId="6" fillId="0" borderId="4" xfId="0" applyFont="1" applyBorder="1" applyAlignment="1">
      <alignment horizontal="center"/>
    </xf>
    <xf numFmtId="0" fontId="6" fillId="0" borderId="5" xfId="0" applyFont="1" applyBorder="1" applyAlignment="1">
      <alignment horizontal="center"/>
    </xf>
    <xf numFmtId="49" fontId="6" fillId="0" borderId="6" xfId="0" applyNumberFormat="1" applyFont="1" applyBorder="1" applyAlignment="1">
      <alignment horizontal="center"/>
    </xf>
    <xf numFmtId="0" fontId="11" fillId="0" borderId="19" xfId="0" applyFont="1" applyBorder="1" applyAlignment="1">
      <alignment horizontal="center"/>
    </xf>
    <xf numFmtId="0" fontId="11" fillId="0" borderId="20" xfId="0" applyFont="1" applyBorder="1"/>
    <xf numFmtId="0" fontId="11" fillId="0" borderId="24" xfId="0" applyFont="1" applyBorder="1"/>
    <xf numFmtId="0" fontId="15" fillId="0" borderId="22" xfId="0" applyFont="1" applyBorder="1"/>
    <xf numFmtId="0" fontId="11" fillId="0" borderId="0" xfId="0" applyFont="1" applyAlignment="1">
      <alignment horizontal="center"/>
    </xf>
    <xf numFmtId="165" fontId="6" fillId="0" borderId="0" xfId="0" applyNumberFormat="1" applyFont="1" applyAlignment="1">
      <alignment horizontal="center"/>
    </xf>
    <xf numFmtId="166" fontId="11" fillId="0" borderId="19" xfId="0" applyNumberFormat="1" applyFont="1" applyBorder="1" applyAlignment="1">
      <alignment horizontal="center"/>
    </xf>
    <xf numFmtId="165" fontId="11" fillId="0" borderId="19" xfId="0" applyNumberFormat="1" applyFont="1" applyBorder="1" applyAlignment="1">
      <alignment horizontal="center"/>
    </xf>
    <xf numFmtId="165" fontId="11" fillId="0" borderId="0" xfId="0" applyNumberFormat="1" applyFont="1" applyAlignment="1">
      <alignment horizontal="center"/>
    </xf>
    <xf numFmtId="0" fontId="16" fillId="0" borderId="0" xfId="0" applyFont="1" applyAlignment="1">
      <alignment horizontal="center" vertical="center" wrapText="1"/>
    </xf>
    <xf numFmtId="0" fontId="16" fillId="0" borderId="0" xfId="0" applyFont="1" applyAlignment="1">
      <alignment horizontal="center" vertical="center"/>
    </xf>
    <xf numFmtId="0" fontId="18" fillId="3" borderId="8" xfId="0" applyFont="1" applyFill="1" applyBorder="1" applyAlignment="1">
      <alignment horizontal="center"/>
    </xf>
    <xf numFmtId="0" fontId="19" fillId="0" borderId="8" xfId="0" applyFont="1" applyBorder="1" applyAlignment="1">
      <alignment horizontal="center" vertical="center"/>
    </xf>
    <xf numFmtId="0" fontId="20" fillId="0" borderId="19" xfId="0" applyFont="1" applyBorder="1" applyAlignment="1">
      <alignment horizontal="center" vertical="center" wrapText="1"/>
    </xf>
    <xf numFmtId="0" fontId="20" fillId="0" borderId="19" xfId="0" applyFont="1" applyBorder="1" applyAlignment="1">
      <alignment horizontal="right" vertical="center" wrapText="1"/>
    </xf>
    <xf numFmtId="0" fontId="19" fillId="0" borderId="21" xfId="0" applyFont="1" applyBorder="1" applyAlignment="1">
      <alignment horizontal="center" vertical="center"/>
    </xf>
    <xf numFmtId="0" fontId="20" fillId="0" borderId="25" xfId="0" applyFont="1" applyBorder="1" applyAlignment="1">
      <alignment horizontal="center" vertical="center" wrapText="1"/>
    </xf>
    <xf numFmtId="0" fontId="20" fillId="0" borderId="25" xfId="0" applyFont="1" applyBorder="1" applyAlignment="1">
      <alignment horizontal="right" vertical="center" wrapText="1"/>
    </xf>
    <xf numFmtId="0" fontId="20" fillId="0" borderId="8" xfId="0" applyFont="1" applyBorder="1" applyAlignment="1">
      <alignment horizontal="center" vertical="center" wrapText="1"/>
    </xf>
    <xf numFmtId="0" fontId="20" fillId="0" borderId="8" xfId="0" applyFont="1" applyBorder="1" applyAlignment="1">
      <alignment horizontal="right" vertical="center" wrapText="1"/>
    </xf>
    <xf numFmtId="0" fontId="6" fillId="0" borderId="0" xfId="0" applyFont="1" applyAlignment="1">
      <alignment horizontal="center"/>
    </xf>
    <xf numFmtId="0" fontId="3" fillId="5" borderId="28" xfId="0" applyFont="1" applyFill="1" applyBorder="1"/>
    <xf numFmtId="0" fontId="6" fillId="5" borderId="29" xfId="0" applyFont="1" applyFill="1" applyBorder="1"/>
    <xf numFmtId="0" fontId="3" fillId="5" borderId="29" xfId="0" applyFont="1" applyFill="1" applyBorder="1" applyAlignment="1">
      <alignment wrapText="1"/>
    </xf>
    <xf numFmtId="0" fontId="3" fillId="5" borderId="30" xfId="0" applyFont="1" applyFill="1" applyBorder="1"/>
    <xf numFmtId="0" fontId="3" fillId="5" borderId="31" xfId="0" applyFont="1" applyFill="1" applyBorder="1"/>
    <xf numFmtId="0" fontId="3" fillId="5" borderId="29" xfId="0" applyFont="1" applyFill="1" applyBorder="1"/>
    <xf numFmtId="0" fontId="6" fillId="5" borderId="31" xfId="0" applyFont="1" applyFill="1" applyBorder="1" applyAlignment="1">
      <alignment horizontal="center"/>
    </xf>
    <xf numFmtId="2" fontId="6" fillId="0" borderId="5" xfId="0" applyNumberFormat="1" applyFont="1" applyBorder="1" applyAlignment="1">
      <alignment horizontal="center"/>
    </xf>
    <xf numFmtId="0" fontId="6" fillId="3" borderId="5" xfId="0" applyFont="1" applyFill="1" applyBorder="1" applyAlignment="1">
      <alignment horizontal="center"/>
    </xf>
    <xf numFmtId="0" fontId="6" fillId="0" borderId="6" xfId="0" applyFont="1" applyBorder="1"/>
    <xf numFmtId="2" fontId="6" fillId="0" borderId="8" xfId="0" applyNumberFormat="1" applyFont="1" applyBorder="1" applyAlignment="1">
      <alignment horizontal="center"/>
    </xf>
    <xf numFmtId="0" fontId="6" fillId="3" borderId="8" xfId="0" applyFont="1" applyFill="1" applyBorder="1" applyAlignment="1">
      <alignment horizontal="center"/>
    </xf>
    <xf numFmtId="0" fontId="6" fillId="0" borderId="9" xfId="0" applyFont="1" applyBorder="1"/>
    <xf numFmtId="2" fontId="6" fillId="0" borderId="13" xfId="0" applyNumberFormat="1" applyFont="1" applyBorder="1" applyAlignment="1">
      <alignment horizontal="center"/>
    </xf>
    <xf numFmtId="0" fontId="6" fillId="0" borderId="13" xfId="0" applyFont="1" applyBorder="1"/>
    <xf numFmtId="0" fontId="6" fillId="3" borderId="13" xfId="0" applyFont="1" applyFill="1" applyBorder="1" applyAlignment="1">
      <alignment horizontal="center"/>
    </xf>
    <xf numFmtId="0" fontId="6" fillId="0" borderId="14" xfId="0" applyFont="1" applyBorder="1"/>
    <xf numFmtId="0" fontId="21" fillId="0" borderId="32" xfId="0" applyFont="1" applyBorder="1" applyAlignment="1">
      <alignment horizontal="center"/>
    </xf>
    <xf numFmtId="0" fontId="21" fillId="0" borderId="33" xfId="0" applyFont="1" applyBorder="1" applyAlignment="1">
      <alignment horizontal="center"/>
    </xf>
    <xf numFmtId="0" fontId="21" fillId="0" borderId="34" xfId="0" applyFont="1" applyBorder="1" applyAlignment="1">
      <alignment horizontal="center"/>
    </xf>
    <xf numFmtId="0" fontId="22" fillId="6" borderId="15" xfId="0" applyFont="1" applyFill="1" applyBorder="1" applyAlignment="1">
      <alignment horizontal="center"/>
    </xf>
    <xf numFmtId="9" fontId="22" fillId="6" borderId="35" xfId="0" applyNumberFormat="1" applyFont="1" applyFill="1"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2" fontId="0" fillId="0" borderId="37" xfId="0" applyNumberFormat="1" applyBorder="1" applyAlignment="1">
      <alignment horizontal="center" vertical="center"/>
    </xf>
    <xf numFmtId="49"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2" fontId="0" fillId="0" borderId="40" xfId="0" applyNumberFormat="1" applyBorder="1" applyAlignment="1">
      <alignment horizontal="center" vertical="center"/>
    </xf>
    <xf numFmtId="49" fontId="0" fillId="0" borderId="41" xfId="0" applyNumberFormat="1" applyBorder="1" applyAlignment="1">
      <alignment horizontal="center"/>
    </xf>
    <xf numFmtId="0" fontId="0" fillId="0" borderId="41" xfId="0" applyBorder="1" applyAlignment="1">
      <alignment horizontal="center" vertical="center"/>
    </xf>
    <xf numFmtId="2" fontId="0" fillId="0" borderId="42" xfId="0" applyNumberFormat="1" applyBorder="1" applyAlignment="1">
      <alignment horizontal="center" vertical="center"/>
    </xf>
    <xf numFmtId="0" fontId="0" fillId="0" borderId="43" xfId="0" applyBorder="1" applyAlignment="1">
      <alignment horizontal="center"/>
    </xf>
    <xf numFmtId="0" fontId="0" fillId="0" borderId="44" xfId="0" applyBorder="1" applyAlignment="1">
      <alignment horizontal="center"/>
    </xf>
    <xf numFmtId="2" fontId="0" fillId="0" borderId="44" xfId="0" applyNumberFormat="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xf>
    <xf numFmtId="0" fontId="0" fillId="0" borderId="47" xfId="0" applyBorder="1" applyAlignment="1">
      <alignment horizontal="center" vertical="center"/>
    </xf>
    <xf numFmtId="0" fontId="0" fillId="0" borderId="40" xfId="0" applyBorder="1" applyAlignment="1">
      <alignment horizontal="center" vertical="center"/>
    </xf>
    <xf numFmtId="0" fontId="0" fillId="7" borderId="40" xfId="0" applyFill="1" applyBorder="1" applyAlignment="1">
      <alignment horizontal="center" vertical="center"/>
    </xf>
    <xf numFmtId="0" fontId="3" fillId="2" borderId="1" xfId="0" applyFont="1" applyFill="1" applyBorder="1" applyAlignment="1">
      <alignment vertical="center" wrapText="1"/>
    </xf>
    <xf numFmtId="0" fontId="3" fillId="2" borderId="2" xfId="0" applyFont="1" applyFill="1" applyBorder="1" applyAlignment="1">
      <alignment horizontal="center" vertical="center"/>
    </xf>
    <xf numFmtId="164" fontId="3" fillId="2" borderId="2"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0" fontId="3" fillId="2" borderId="4" xfId="0" applyFont="1" applyFill="1" applyBorder="1" applyAlignment="1">
      <alignment horizontal="center" vertical="center"/>
    </xf>
    <xf numFmtId="0" fontId="6" fillId="2" borderId="5" xfId="0" applyFont="1" applyFill="1" applyBorder="1" applyAlignment="1">
      <alignment horizontal="center" vertical="center"/>
    </xf>
    <xf numFmtId="165" fontId="6" fillId="2" borderId="5" xfId="0" applyNumberFormat="1" applyFont="1" applyFill="1" applyBorder="1" applyAlignment="1">
      <alignment horizontal="center" vertical="center"/>
    </xf>
    <xf numFmtId="0" fontId="3" fillId="2" borderId="7" xfId="0" applyFont="1" applyFill="1" applyBorder="1" applyAlignment="1">
      <alignment horizontal="center" vertical="center"/>
    </xf>
    <xf numFmtId="0" fontId="6" fillId="2" borderId="8" xfId="0" applyFont="1" applyFill="1" applyBorder="1" applyAlignment="1">
      <alignment horizontal="center" vertical="center"/>
    </xf>
    <xf numFmtId="165" fontId="6" fillId="2" borderId="8" xfId="0" applyNumberFormat="1" applyFont="1" applyFill="1" applyBorder="1" applyAlignment="1">
      <alignment horizontal="center" vertical="center"/>
    </xf>
    <xf numFmtId="0" fontId="3" fillId="2" borderId="12" xfId="0" applyFont="1" applyFill="1" applyBorder="1" applyAlignment="1">
      <alignment horizontal="center" vertical="center"/>
    </xf>
    <xf numFmtId="0" fontId="6" fillId="2" borderId="13" xfId="0" applyFont="1" applyFill="1" applyBorder="1" applyAlignment="1">
      <alignment horizontal="center" vertical="center"/>
    </xf>
    <xf numFmtId="165" fontId="6" fillId="2" borderId="13" xfId="0" applyNumberFormat="1" applyFont="1" applyFill="1" applyBorder="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3" fillId="4" borderId="2" xfId="0" applyFont="1" applyFill="1" applyBorder="1" applyAlignment="1">
      <alignment horizontal="center" vertical="center"/>
    </xf>
    <xf numFmtId="165" fontId="3" fillId="2" borderId="6" xfId="0" applyNumberFormat="1" applyFont="1" applyFill="1" applyBorder="1" applyAlignment="1">
      <alignment horizontal="center"/>
    </xf>
    <xf numFmtId="165" fontId="3" fillId="2" borderId="9" xfId="0" applyNumberFormat="1" applyFont="1" applyFill="1" applyBorder="1" applyAlignment="1">
      <alignment horizontal="center"/>
    </xf>
    <xf numFmtId="165" fontId="3" fillId="2" borderId="14" xfId="0" applyNumberFormat="1" applyFont="1" applyFill="1" applyBorder="1" applyAlignment="1">
      <alignment horizontal="center"/>
    </xf>
    <xf numFmtId="0" fontId="0" fillId="0" borderId="27" xfId="0" applyBorder="1"/>
    <xf numFmtId="2" fontId="0" fillId="0" borderId="27" xfId="0" applyNumberFormat="1" applyBorder="1" applyAlignment="1">
      <alignment horizontal="center" vertical="center"/>
    </xf>
    <xf numFmtId="0" fontId="6" fillId="0" borderId="18" xfId="0" applyFont="1" applyBorder="1" applyAlignment="1">
      <alignment horizontal="center"/>
    </xf>
    <xf numFmtId="2" fontId="6" fillId="0" borderId="18" xfId="0" applyNumberFormat="1" applyFont="1" applyBorder="1" applyAlignment="1">
      <alignment horizontal="center" vertical="center"/>
    </xf>
    <xf numFmtId="2" fontId="6" fillId="8" borderId="8" xfId="0" applyNumberFormat="1" applyFont="1" applyFill="1" applyBorder="1" applyAlignment="1">
      <alignment horizontal="center" vertical="center"/>
    </xf>
    <xf numFmtId="2" fontId="6" fillId="8" borderId="8" xfId="1" applyNumberFormat="1" applyFont="1" applyFill="1" applyBorder="1" applyAlignment="1">
      <alignment horizontal="center" vertical="center"/>
    </xf>
    <xf numFmtId="2" fontId="6" fillId="8" borderId="13" xfId="0" applyNumberFormat="1" applyFont="1" applyFill="1" applyBorder="1" applyAlignment="1">
      <alignment horizontal="center" vertical="center"/>
    </xf>
    <xf numFmtId="2" fontId="6" fillId="8" borderId="5" xfId="0" applyNumberFormat="1" applyFont="1" applyFill="1" applyBorder="1" applyAlignment="1">
      <alignment horizontal="center" vertical="center"/>
    </xf>
    <xf numFmtId="2" fontId="0" fillId="8" borderId="37" xfId="0" applyNumberFormat="1" applyFill="1" applyBorder="1" applyAlignment="1">
      <alignment horizontal="center" vertical="center"/>
    </xf>
    <xf numFmtId="2" fontId="0" fillId="8" borderId="40" xfId="0" applyNumberFormat="1" applyFill="1" applyBorder="1" applyAlignment="1">
      <alignment horizontal="center" vertical="center"/>
    </xf>
    <xf numFmtId="2" fontId="0" fillId="8" borderId="42" xfId="0" applyNumberFormat="1" applyFill="1" applyBorder="1" applyAlignment="1">
      <alignment horizontal="center" vertical="center"/>
    </xf>
    <xf numFmtId="2" fontId="0" fillId="8" borderId="44" xfId="0" applyNumberFormat="1" applyFill="1" applyBorder="1" applyAlignment="1">
      <alignment horizontal="center" vertical="center"/>
    </xf>
    <xf numFmtId="0" fontId="6" fillId="9" borderId="7" xfId="0" applyFont="1" applyFill="1" applyBorder="1" applyAlignment="1">
      <alignment horizontal="center"/>
    </xf>
    <xf numFmtId="0" fontId="6" fillId="9" borderId="8" xfId="0" applyFont="1" applyFill="1" applyBorder="1" applyAlignment="1">
      <alignment horizontal="center"/>
    </xf>
    <xf numFmtId="0" fontId="0" fillId="9" borderId="39" xfId="0" applyFill="1" applyBorder="1" applyAlignment="1">
      <alignment horizontal="center"/>
    </xf>
    <xf numFmtId="0" fontId="0" fillId="9" borderId="40" xfId="0" applyFill="1" applyBorder="1" applyAlignment="1">
      <alignment horizontal="center"/>
    </xf>
    <xf numFmtId="0" fontId="0" fillId="9" borderId="46" xfId="0" applyFill="1" applyBorder="1" applyAlignment="1">
      <alignment horizontal="center"/>
    </xf>
    <xf numFmtId="2" fontId="0" fillId="0" borderId="0" xfId="0" applyNumberFormat="1"/>
    <xf numFmtId="2" fontId="14" fillId="0" borderId="27" xfId="0" applyNumberFormat="1" applyFont="1" applyBorder="1" applyAlignment="1">
      <alignment horizontal="center"/>
    </xf>
    <xf numFmtId="0" fontId="6" fillId="0" borderId="27" xfId="0" applyFont="1" applyBorder="1"/>
    <xf numFmtId="165" fontId="14" fillId="0" borderId="27" xfId="0" applyNumberFormat="1" applyFont="1" applyBorder="1" applyAlignment="1">
      <alignment horizontal="center"/>
    </xf>
    <xf numFmtId="0" fontId="0" fillId="7" borderId="39" xfId="0" applyFill="1" applyBorder="1" applyAlignment="1">
      <alignment horizontal="center"/>
    </xf>
    <xf numFmtId="0" fontId="0" fillId="7" borderId="40" xfId="0" applyFill="1" applyBorder="1" applyAlignment="1">
      <alignment horizontal="center"/>
    </xf>
    <xf numFmtId="0" fontId="13" fillId="9" borderId="40" xfId="0" applyFont="1" applyFill="1" applyBorder="1" applyAlignment="1">
      <alignment horizontal="center"/>
    </xf>
    <xf numFmtId="0" fontId="13" fillId="0" borderId="41" xfId="0" applyFont="1" applyBorder="1"/>
    <xf numFmtId="0" fontId="13" fillId="9" borderId="39" xfId="0" applyFont="1" applyFill="1" applyBorder="1"/>
    <xf numFmtId="0" fontId="13" fillId="9" borderId="43" xfId="0" applyFont="1" applyFill="1" applyBorder="1"/>
    <xf numFmtId="0" fontId="13" fillId="9" borderId="44" xfId="0" applyFont="1" applyFill="1" applyBorder="1" applyAlignment="1">
      <alignment horizontal="center"/>
    </xf>
    <xf numFmtId="0" fontId="13" fillId="0" borderId="44" xfId="0" applyFont="1" applyBorder="1" applyAlignment="1">
      <alignment horizontal="center"/>
    </xf>
    <xf numFmtId="0" fontId="13" fillId="0" borderId="45" xfId="0" applyFont="1" applyBorder="1"/>
    <xf numFmtId="0" fontId="0" fillId="0" borderId="27" xfId="0" applyBorder="1" applyAlignment="1">
      <alignment horizontal="center"/>
    </xf>
    <xf numFmtId="0" fontId="0" fillId="0" borderId="27" xfId="0" applyBorder="1" applyAlignment="1">
      <alignment horizontal="center" vertical="center"/>
    </xf>
    <xf numFmtId="0" fontId="13" fillId="0" borderId="27" xfId="0" applyFont="1" applyBorder="1" applyAlignment="1">
      <alignment horizontal="center"/>
    </xf>
    <xf numFmtId="0" fontId="0" fillId="9" borderId="43" xfId="0" applyFill="1" applyBorder="1" applyAlignment="1">
      <alignment horizontal="center"/>
    </xf>
    <xf numFmtId="0" fontId="0" fillId="9" borderId="44" xfId="0" applyFill="1" applyBorder="1" applyAlignment="1">
      <alignment horizontal="center"/>
    </xf>
    <xf numFmtId="9" fontId="0" fillId="0" borderId="51" xfId="2" applyFont="1" applyBorder="1" applyAlignment="1">
      <alignment horizontal="center" vertical="center"/>
    </xf>
    <xf numFmtId="0" fontId="0" fillId="0" borderId="50" xfId="0" applyBorder="1" applyAlignment="1">
      <alignment horizontal="center" vertical="center"/>
    </xf>
    <xf numFmtId="10" fontId="10" fillId="4" borderId="54" xfId="0" applyNumberFormat="1" applyFont="1" applyFill="1" applyBorder="1" applyAlignment="1">
      <alignment horizontal="center" vertical="center" wrapText="1"/>
    </xf>
    <xf numFmtId="0" fontId="11" fillId="0" borderId="27" xfId="0" applyFont="1" applyBorder="1" applyAlignment="1">
      <alignment horizontal="center" vertical="center" wrapText="1"/>
    </xf>
    <xf numFmtId="0" fontId="6" fillId="0" borderId="27" xfId="0" applyFont="1" applyBorder="1" applyAlignment="1">
      <alignment vertical="center"/>
    </xf>
    <xf numFmtId="3" fontId="0" fillId="0" borderId="0" xfId="0" applyNumberFormat="1"/>
    <xf numFmtId="2" fontId="14" fillId="0" borderId="23" xfId="0" applyNumberFormat="1" applyFont="1" applyBorder="1" applyAlignment="1">
      <alignment horizontal="center"/>
    </xf>
    <xf numFmtId="0" fontId="6" fillId="0" borderId="23" xfId="0" applyFont="1" applyBorder="1"/>
    <xf numFmtId="165" fontId="14" fillId="0" borderId="23" xfId="0" applyNumberFormat="1" applyFont="1" applyBorder="1" applyAlignment="1">
      <alignment horizontal="center"/>
    </xf>
    <xf numFmtId="0" fontId="6" fillId="0" borderId="57" xfId="0" applyFont="1" applyBorder="1"/>
    <xf numFmtId="0" fontId="13" fillId="0" borderId="40" xfId="0" applyFont="1" applyBorder="1" applyAlignment="1">
      <alignment horizontal="center"/>
    </xf>
    <xf numFmtId="2" fontId="13" fillId="0" borderId="40" xfId="0" applyNumberFormat="1" applyFont="1" applyBorder="1" applyAlignment="1">
      <alignment horizontal="center"/>
    </xf>
    <xf numFmtId="0" fontId="6" fillId="0" borderId="58" xfId="0" applyFont="1" applyBorder="1"/>
    <xf numFmtId="0" fontId="11" fillId="0" borderId="60" xfId="0" applyFont="1" applyBorder="1" applyAlignment="1">
      <alignment horizontal="center" vertical="center" wrapText="1"/>
    </xf>
    <xf numFmtId="0" fontId="13" fillId="0" borderId="37" xfId="0" applyFont="1" applyBorder="1" applyAlignment="1">
      <alignment horizontal="center"/>
    </xf>
    <xf numFmtId="2" fontId="13" fillId="0" borderId="37" xfId="0" applyNumberFormat="1" applyFont="1" applyBorder="1" applyAlignment="1">
      <alignment horizontal="center"/>
    </xf>
    <xf numFmtId="2" fontId="13" fillId="0" borderId="44" xfId="0" applyNumberFormat="1" applyFont="1" applyBorder="1" applyAlignment="1">
      <alignment horizontal="center"/>
    </xf>
    <xf numFmtId="2" fontId="14" fillId="0" borderId="62" xfId="0" applyNumberFormat="1" applyFont="1" applyBorder="1" applyAlignment="1">
      <alignment horizontal="center"/>
    </xf>
    <xf numFmtId="0" fontId="6" fillId="0" borderId="62" xfId="0" applyFont="1" applyBorder="1"/>
    <xf numFmtId="165" fontId="14" fillId="0" borderId="62" xfId="0" applyNumberFormat="1" applyFont="1" applyBorder="1" applyAlignment="1">
      <alignment horizontal="center"/>
    </xf>
    <xf numFmtId="165" fontId="6" fillId="0" borderId="63" xfId="0" applyNumberFormat="1" applyFont="1" applyBorder="1" applyAlignment="1">
      <alignment horizontal="center"/>
    </xf>
    <xf numFmtId="0" fontId="0" fillId="0" borderId="37" xfId="0" applyBorder="1" applyAlignment="1">
      <alignment horizontal="center" vertical="center"/>
    </xf>
    <xf numFmtId="0" fontId="25" fillId="0" borderId="0" xfId="0" applyFont="1" applyAlignment="1">
      <alignment wrapText="1"/>
    </xf>
    <xf numFmtId="9" fontId="0" fillId="0" borderId="51" xfId="0" applyNumberFormat="1" applyBorder="1" applyAlignment="1">
      <alignment horizontal="center" vertical="center"/>
    </xf>
    <xf numFmtId="3" fontId="0" fillId="0" borderId="51" xfId="0" applyNumberFormat="1" applyBorder="1" applyAlignment="1">
      <alignment horizontal="center" vertical="center"/>
    </xf>
    <xf numFmtId="0" fontId="24" fillId="0" borderId="50" xfId="0" applyFont="1" applyBorder="1" applyAlignment="1">
      <alignment horizontal="center" vertical="center"/>
    </xf>
    <xf numFmtId="2" fontId="14" fillId="0" borderId="64" xfId="0" applyNumberFormat="1" applyFont="1" applyBorder="1" applyAlignment="1">
      <alignment horizontal="center"/>
    </xf>
    <xf numFmtId="0" fontId="6" fillId="0" borderId="64" xfId="0" applyFont="1" applyBorder="1"/>
    <xf numFmtId="165" fontId="14" fillId="0" borderId="64" xfId="0" applyNumberFormat="1" applyFont="1" applyBorder="1" applyAlignment="1">
      <alignment horizontal="center"/>
    </xf>
    <xf numFmtId="3" fontId="6" fillId="0" borderId="64" xfId="0" applyNumberFormat="1" applyFont="1" applyBorder="1" applyAlignment="1">
      <alignment horizontal="center"/>
    </xf>
    <xf numFmtId="0" fontId="6" fillId="0" borderId="56" xfId="0" applyFont="1" applyBorder="1" applyAlignment="1">
      <alignment horizontal="center"/>
    </xf>
    <xf numFmtId="0" fontId="0" fillId="0" borderId="50" xfId="0" applyBorder="1" applyAlignment="1">
      <alignment horizontal="center"/>
    </xf>
    <xf numFmtId="167" fontId="0" fillId="0" borderId="51" xfId="0" applyNumberFormat="1" applyBorder="1" applyAlignment="1">
      <alignment horizontal="center" vertical="center"/>
    </xf>
    <xf numFmtId="0" fontId="2" fillId="0" borderId="52" xfId="0" applyFont="1" applyBorder="1" applyAlignment="1">
      <alignment horizontal="center" vertical="center" wrapText="1"/>
    </xf>
    <xf numFmtId="167" fontId="28" fillId="0" borderId="53" xfId="0" applyNumberFormat="1" applyFont="1" applyBorder="1" applyAlignment="1">
      <alignment horizontal="center" vertical="center"/>
    </xf>
    <xf numFmtId="0" fontId="13" fillId="7" borderId="36" xfId="0" applyFont="1" applyFill="1" applyBorder="1"/>
    <xf numFmtId="0" fontId="13" fillId="7" borderId="37" xfId="0" applyFont="1" applyFill="1" applyBorder="1" applyAlignment="1">
      <alignment horizontal="center"/>
    </xf>
    <xf numFmtId="0" fontId="13" fillId="0" borderId="38" xfId="0" applyFont="1" applyBorder="1"/>
    <xf numFmtId="0" fontId="13" fillId="0" borderId="67" xfId="0" applyFont="1" applyBorder="1" applyAlignment="1">
      <alignment horizontal="center"/>
    </xf>
    <xf numFmtId="0" fontId="13" fillId="0" borderId="69" xfId="0" applyFont="1" applyBorder="1" applyAlignment="1">
      <alignment horizontal="center"/>
    </xf>
    <xf numFmtId="0" fontId="13" fillId="0" borderId="72" xfId="0" applyFont="1" applyBorder="1" applyAlignment="1">
      <alignment horizontal="center"/>
    </xf>
    <xf numFmtId="0" fontId="29" fillId="0" borderId="65" xfId="0" applyFont="1" applyBorder="1" applyAlignment="1">
      <alignment horizontal="center"/>
    </xf>
    <xf numFmtId="0" fontId="29" fillId="0" borderId="66" xfId="0" applyFont="1" applyBorder="1" applyAlignment="1">
      <alignment horizontal="center"/>
    </xf>
    <xf numFmtId="0" fontId="29" fillId="8" borderId="66" xfId="0" applyFont="1" applyFill="1" applyBorder="1" applyAlignment="1">
      <alignment horizontal="center"/>
    </xf>
    <xf numFmtId="0" fontId="29" fillId="0" borderId="68" xfId="0" applyFont="1" applyBorder="1" applyAlignment="1">
      <alignment horizontal="center"/>
    </xf>
    <xf numFmtId="0" fontId="29" fillId="0" borderId="8" xfId="0" applyFont="1" applyBorder="1" applyAlignment="1">
      <alignment horizontal="center"/>
    </xf>
    <xf numFmtId="0" fontId="29" fillId="8" borderId="8" xfId="0" applyFont="1" applyFill="1" applyBorder="1" applyAlignment="1">
      <alignment horizontal="center"/>
    </xf>
    <xf numFmtId="0" fontId="29" fillId="9" borderId="68" xfId="0" applyFont="1" applyFill="1" applyBorder="1" applyAlignment="1">
      <alignment horizontal="center"/>
    </xf>
    <xf numFmtId="0" fontId="29" fillId="9" borderId="8" xfId="0" applyFont="1" applyFill="1" applyBorder="1" applyAlignment="1">
      <alignment horizontal="center"/>
    </xf>
    <xf numFmtId="0" fontId="29" fillId="0" borderId="70" xfId="0" applyFont="1" applyBorder="1" applyAlignment="1">
      <alignment horizontal="center"/>
    </xf>
    <xf numFmtId="0" fontId="29" fillId="0" borderId="71" xfId="0" applyFont="1" applyBorder="1" applyAlignment="1">
      <alignment horizontal="center"/>
    </xf>
    <xf numFmtId="0" fontId="0" fillId="0" borderId="48" xfId="0" applyBorder="1" applyAlignment="1">
      <alignment horizontal="center" vertical="center"/>
    </xf>
    <xf numFmtId="0" fontId="0" fillId="0" borderId="49" xfId="0" applyBorder="1" applyAlignment="1">
      <alignment horizontal="center" vertical="center"/>
    </xf>
    <xf numFmtId="0" fontId="11" fillId="0" borderId="27" xfId="0" applyFont="1" applyBorder="1" applyAlignment="1">
      <alignment horizontal="center"/>
    </xf>
    <xf numFmtId="166" fontId="11" fillId="0" borderId="27" xfId="0" applyNumberFormat="1" applyFont="1" applyBorder="1" applyAlignment="1">
      <alignment horizontal="center"/>
    </xf>
    <xf numFmtId="9" fontId="0" fillId="0" borderId="0" xfId="0" applyNumberFormat="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3" fontId="0" fillId="0" borderId="27" xfId="0" applyNumberFormat="1" applyBorder="1"/>
    <xf numFmtId="166" fontId="13" fillId="0" borderId="40" xfId="0" applyNumberFormat="1" applyFont="1" applyBorder="1" applyAlignment="1">
      <alignment horizontal="center"/>
    </xf>
    <xf numFmtId="0" fontId="0" fillId="10" borderId="39" xfId="0" applyFill="1" applyBorder="1" applyAlignment="1">
      <alignment horizontal="center"/>
    </xf>
    <xf numFmtId="2" fontId="31" fillId="10" borderId="8" xfId="6" applyNumberFormat="1" applyFont="1" applyFill="1" applyBorder="1" applyAlignment="1">
      <alignment horizontal="center" vertical="center"/>
    </xf>
    <xf numFmtId="2" fontId="31" fillId="11" borderId="8" xfId="8" applyNumberFormat="1" applyFont="1" applyFill="1" applyBorder="1" applyAlignment="1">
      <alignment horizontal="center" vertical="center"/>
    </xf>
    <xf numFmtId="0" fontId="32" fillId="11" borderId="8" xfId="11" applyFont="1" applyFill="1" applyBorder="1" applyAlignment="1">
      <alignment horizontal="center"/>
    </xf>
    <xf numFmtId="0" fontId="30" fillId="0" borderId="41" xfId="18" applyBorder="1" applyAlignment="1">
      <alignment horizontal="center" vertical="center"/>
    </xf>
    <xf numFmtId="0" fontId="32" fillId="11" borderId="73" xfId="11" applyFont="1" applyFill="1" applyBorder="1" applyAlignment="1">
      <alignment horizontal="center"/>
    </xf>
    <xf numFmtId="0" fontId="30" fillId="0" borderId="45" xfId="18" applyBorder="1" applyAlignment="1">
      <alignment horizontal="center" vertical="center"/>
    </xf>
    <xf numFmtId="2" fontId="30" fillId="0" borderId="40" xfId="20" applyNumberFormat="1" applyBorder="1" applyAlignment="1">
      <alignment horizontal="center" vertical="center"/>
    </xf>
    <xf numFmtId="2" fontId="30" fillId="10" borderId="42" xfId="21" applyNumberFormat="1" applyFill="1" applyBorder="1" applyAlignment="1">
      <alignment horizontal="center" vertical="center"/>
    </xf>
    <xf numFmtId="2" fontId="25" fillId="0" borderId="0" xfId="0" applyNumberFormat="1" applyFont="1"/>
    <xf numFmtId="0" fontId="24" fillId="0" borderId="0" xfId="0" applyFont="1"/>
    <xf numFmtId="0" fontId="1" fillId="0" borderId="0" xfId="0" applyFont="1"/>
    <xf numFmtId="0" fontId="13" fillId="8" borderId="40" xfId="0" applyFont="1" applyFill="1" applyBorder="1" applyAlignment="1">
      <alignment horizontal="center"/>
    </xf>
    <xf numFmtId="2" fontId="6" fillId="13" borderId="8" xfId="0" applyNumberFormat="1" applyFont="1" applyFill="1" applyBorder="1" applyAlignment="1">
      <alignment horizontal="center" vertical="center"/>
    </xf>
    <xf numFmtId="2" fontId="0" fillId="12" borderId="40" xfId="0" applyNumberFormat="1" applyFill="1" applyBorder="1" applyAlignment="1">
      <alignment horizontal="center" vertical="center"/>
    </xf>
    <xf numFmtId="0" fontId="17" fillId="0" borderId="0" xfId="0" applyFont="1" applyAlignment="1">
      <alignment vertical="center" wrapText="1"/>
    </xf>
    <xf numFmtId="0" fontId="0" fillId="0" borderId="0" xfId="0"/>
    <xf numFmtId="0" fontId="17" fillId="0" borderId="0" xfId="0" applyFont="1" applyAlignment="1">
      <alignment horizontal="right" wrapText="1"/>
    </xf>
    <xf numFmtId="0" fontId="14" fillId="0" borderId="64" xfId="0" applyFont="1" applyBorder="1"/>
    <xf numFmtId="0" fontId="11" fillId="0" borderId="20" xfId="0" applyFont="1" applyBorder="1" applyAlignment="1">
      <alignment horizontal="right" vertical="center"/>
    </xf>
    <xf numFmtId="0" fontId="8" fillId="0" borderId="24" xfId="0" applyFont="1" applyBorder="1"/>
    <xf numFmtId="0" fontId="8" fillId="0" borderId="22" xfId="0" applyFont="1" applyBorder="1"/>
    <xf numFmtId="0" fontId="14" fillId="0" borderId="55" xfId="0" applyFont="1" applyBorder="1" applyAlignment="1">
      <alignment horizontal="right" vertical="center"/>
    </xf>
    <xf numFmtId="0" fontId="5" fillId="0" borderId="0" xfId="0" applyFont="1" applyAlignment="1">
      <alignment horizontal="right" vertical="center" wrapText="1" readingOrder="2"/>
    </xf>
    <xf numFmtId="0" fontId="16" fillId="0" borderId="0" xfId="0" applyFont="1" applyAlignment="1">
      <alignment horizontal="center"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5" fillId="0" borderId="0" xfId="0" applyFont="1" applyAlignment="1">
      <alignment horizontal="center" vertical="top"/>
    </xf>
    <xf numFmtId="0" fontId="8" fillId="0" borderId="27" xfId="0" applyFont="1" applyBorder="1"/>
    <xf numFmtId="0" fontId="9" fillId="0" borderId="0" xfId="0" applyFont="1" applyAlignment="1">
      <alignment horizontal="center"/>
    </xf>
    <xf numFmtId="0" fontId="21" fillId="3" borderId="26" xfId="0" applyFont="1" applyFill="1" applyBorder="1" applyAlignment="1">
      <alignment horizontal="center"/>
    </xf>
    <xf numFmtId="0" fontId="0" fillId="0" borderId="0" xfId="0" applyAlignment="1"/>
    <xf numFmtId="0" fontId="11" fillId="8" borderId="59" xfId="0" applyFont="1" applyFill="1" applyBorder="1" applyAlignment="1">
      <alignment horizontal="center" vertical="center" wrapText="1"/>
    </xf>
    <xf numFmtId="0" fontId="11" fillId="8" borderId="60" xfId="0" applyFont="1" applyFill="1" applyBorder="1" applyAlignment="1">
      <alignment horizontal="center" vertical="center" wrapText="1"/>
    </xf>
    <xf numFmtId="0" fontId="13" fillId="16" borderId="36" xfId="0" applyFont="1" applyFill="1" applyBorder="1" applyAlignment="1">
      <alignment horizontal="center"/>
    </xf>
    <xf numFmtId="0" fontId="13" fillId="8" borderId="37" xfId="0" applyFont="1" applyFill="1" applyBorder="1" applyAlignment="1">
      <alignment horizontal="center"/>
    </xf>
    <xf numFmtId="0" fontId="6" fillId="8" borderId="37" xfId="0" applyFont="1" applyFill="1" applyBorder="1" applyAlignment="1">
      <alignment horizontal="center" vertical="center"/>
    </xf>
    <xf numFmtId="2" fontId="13" fillId="8" borderId="37" xfId="0" applyNumberFormat="1" applyFont="1" applyFill="1" applyBorder="1" applyAlignment="1">
      <alignment horizontal="center"/>
    </xf>
    <xf numFmtId="0" fontId="13" fillId="16" borderId="39" xfId="0" applyFont="1" applyFill="1" applyBorder="1" applyAlignment="1">
      <alignment horizontal="center"/>
    </xf>
    <xf numFmtId="0" fontId="6" fillId="8" borderId="40" xfId="0" applyFont="1" applyFill="1" applyBorder="1" applyAlignment="1">
      <alignment horizontal="center" vertical="center"/>
    </xf>
    <xf numFmtId="2" fontId="13" fillId="8" borderId="40" xfId="0" applyNumberFormat="1" applyFont="1" applyFill="1" applyBorder="1" applyAlignment="1">
      <alignment horizontal="center"/>
    </xf>
    <xf numFmtId="0" fontId="13" fillId="16" borderId="43" xfId="0" applyFont="1" applyFill="1" applyBorder="1" applyAlignment="1">
      <alignment horizontal="center"/>
    </xf>
    <xf numFmtId="0" fontId="13" fillId="8" borderId="44" xfId="0" applyFont="1" applyFill="1" applyBorder="1" applyAlignment="1">
      <alignment horizontal="center"/>
    </xf>
    <xf numFmtId="0" fontId="6" fillId="8" borderId="44" xfId="0" applyFont="1" applyFill="1" applyBorder="1" applyAlignment="1">
      <alignment horizontal="center" vertical="center"/>
    </xf>
    <xf numFmtId="2" fontId="13" fillId="8" borderId="44" xfId="0" applyNumberFormat="1" applyFont="1" applyFill="1" applyBorder="1" applyAlignment="1">
      <alignment horizontal="center"/>
    </xf>
    <xf numFmtId="0" fontId="11" fillId="8" borderId="61" xfId="0" applyFont="1" applyFill="1" applyBorder="1" applyAlignment="1">
      <alignment horizontal="center" vertical="center" wrapText="1"/>
    </xf>
    <xf numFmtId="2" fontId="6" fillId="8" borderId="37" xfId="0" applyNumberFormat="1" applyFont="1" applyFill="1" applyBorder="1" applyAlignment="1">
      <alignment horizontal="center"/>
    </xf>
    <xf numFmtId="3" fontId="26" fillId="8" borderId="37" xfId="0" applyNumberFormat="1" applyFont="1" applyFill="1" applyBorder="1" applyAlignment="1">
      <alignment horizontal="center" vertical="center"/>
    </xf>
    <xf numFmtId="0" fontId="6" fillId="8" borderId="38" xfId="0" applyFont="1" applyFill="1" applyBorder="1" applyAlignment="1">
      <alignment horizontal="center" vertical="center"/>
    </xf>
    <xf numFmtId="3" fontId="26" fillId="8" borderId="40" xfId="0" applyNumberFormat="1" applyFont="1" applyFill="1" applyBorder="1" applyAlignment="1">
      <alignment horizontal="center" vertical="center"/>
    </xf>
    <xf numFmtId="0" fontId="6" fillId="8" borderId="41" xfId="0" applyFont="1" applyFill="1" applyBorder="1" applyAlignment="1">
      <alignment horizontal="center" vertical="center"/>
    </xf>
    <xf numFmtId="0" fontId="6" fillId="8" borderId="40" xfId="0" applyFont="1" applyFill="1" applyBorder="1" applyAlignment="1">
      <alignment horizontal="center"/>
    </xf>
    <xf numFmtId="3" fontId="26" fillId="8" borderId="44" xfId="0" applyNumberFormat="1" applyFont="1" applyFill="1" applyBorder="1" applyAlignment="1">
      <alignment horizontal="center" vertical="center"/>
    </xf>
    <xf numFmtId="0" fontId="6" fillId="8" borderId="45" xfId="0" applyFont="1" applyFill="1" applyBorder="1" applyAlignment="1">
      <alignment horizontal="center" vertical="center"/>
    </xf>
    <xf numFmtId="0" fontId="6" fillId="8" borderId="38" xfId="0" applyFont="1" applyFill="1" applyBorder="1" applyAlignment="1">
      <alignment horizontal="center"/>
    </xf>
    <xf numFmtId="0" fontId="6" fillId="8" borderId="41" xfId="0" applyFont="1" applyFill="1" applyBorder="1" applyAlignment="1">
      <alignment horizontal="center"/>
    </xf>
    <xf numFmtId="2" fontId="6" fillId="8" borderId="40" xfId="0" applyNumberFormat="1" applyFont="1" applyFill="1" applyBorder="1" applyAlignment="1">
      <alignment horizontal="center" vertical="center"/>
    </xf>
    <xf numFmtId="2" fontId="6" fillId="8" borderId="40" xfId="0" applyNumberFormat="1" applyFont="1" applyFill="1" applyBorder="1" applyAlignment="1">
      <alignment horizontal="center"/>
    </xf>
    <xf numFmtId="2" fontId="6" fillId="8" borderId="44" xfId="0" applyNumberFormat="1" applyFont="1" applyFill="1" applyBorder="1" applyAlignment="1">
      <alignment horizontal="center" vertical="center"/>
    </xf>
    <xf numFmtId="0" fontId="6" fillId="8" borderId="45" xfId="0" applyFont="1" applyFill="1" applyBorder="1" applyAlignment="1">
      <alignment horizontal="center"/>
    </xf>
    <xf numFmtId="2" fontId="13" fillId="17" borderId="37" xfId="0" applyNumberFormat="1" applyFont="1" applyFill="1" applyBorder="1" applyAlignment="1">
      <alignment horizontal="center"/>
    </xf>
    <xf numFmtId="0" fontId="0" fillId="8" borderId="38" xfId="0" applyFill="1" applyBorder="1" applyAlignment="1">
      <alignment horizontal="center"/>
    </xf>
    <xf numFmtId="0" fontId="13" fillId="17" borderId="40" xfId="0" applyFont="1" applyFill="1" applyBorder="1" applyAlignment="1">
      <alignment horizontal="center"/>
    </xf>
    <xf numFmtId="0" fontId="0" fillId="8" borderId="41" xfId="0" applyFill="1" applyBorder="1" applyAlignment="1">
      <alignment horizontal="center"/>
    </xf>
    <xf numFmtId="0" fontId="6" fillId="17" borderId="40" xfId="0" applyFont="1" applyFill="1" applyBorder="1" applyAlignment="1">
      <alignment horizontal="center" vertical="center"/>
    </xf>
    <xf numFmtId="0" fontId="0" fillId="8" borderId="45" xfId="0" applyFill="1" applyBorder="1" applyAlignment="1">
      <alignment horizontal="center"/>
    </xf>
    <xf numFmtId="0" fontId="13" fillId="17" borderId="37" xfId="0" applyFont="1" applyFill="1" applyBorder="1" applyAlignment="1">
      <alignment horizontal="center"/>
    </xf>
    <xf numFmtId="0" fontId="6" fillId="8" borderId="37" xfId="0" applyFont="1" applyFill="1" applyBorder="1" applyAlignment="1">
      <alignment horizontal="center"/>
    </xf>
    <xf numFmtId="0" fontId="13" fillId="8" borderId="38" xfId="0" applyFont="1" applyFill="1" applyBorder="1" applyAlignment="1">
      <alignment horizontal="center"/>
    </xf>
    <xf numFmtId="0" fontId="13" fillId="8" borderId="41" xfId="0" applyFont="1" applyFill="1" applyBorder="1" applyAlignment="1">
      <alignment horizontal="center"/>
    </xf>
    <xf numFmtId="0" fontId="13" fillId="8" borderId="45" xfId="0" applyFont="1" applyFill="1" applyBorder="1" applyAlignment="1">
      <alignment horizontal="center"/>
    </xf>
    <xf numFmtId="166" fontId="13" fillId="8" borderId="40" xfId="0" applyNumberFormat="1" applyFont="1" applyFill="1" applyBorder="1" applyAlignment="1">
      <alignment horizontal="center"/>
    </xf>
    <xf numFmtId="2" fontId="13" fillId="17" borderId="40" xfId="0" applyNumberFormat="1" applyFont="1" applyFill="1" applyBorder="1" applyAlignment="1">
      <alignment horizontal="center"/>
    </xf>
    <xf numFmtId="49" fontId="0" fillId="8" borderId="36" xfId="0" applyNumberFormat="1" applyFill="1" applyBorder="1" applyAlignment="1">
      <alignment horizontal="center" vertical="center"/>
    </xf>
    <xf numFmtId="0" fontId="0" fillId="8" borderId="37" xfId="0" applyFill="1" applyBorder="1" applyAlignment="1">
      <alignment horizontal="center" vertical="center"/>
    </xf>
    <xf numFmtId="49" fontId="0" fillId="8" borderId="39" xfId="0" applyNumberFormat="1" applyFill="1" applyBorder="1" applyAlignment="1">
      <alignment horizontal="center" vertical="center"/>
    </xf>
    <xf numFmtId="0" fontId="0" fillId="8" borderId="40" xfId="0" applyFill="1" applyBorder="1" applyAlignment="1">
      <alignment horizontal="center" vertical="center"/>
    </xf>
    <xf numFmtId="0" fontId="0" fillId="8" borderId="40" xfId="0" quotePrefix="1" applyFill="1" applyBorder="1" applyAlignment="1">
      <alignment horizontal="center" vertical="center"/>
    </xf>
    <xf numFmtId="0" fontId="0" fillId="8" borderId="40" xfId="0" applyFill="1" applyBorder="1" applyAlignment="1">
      <alignment horizontal="center" vertical="center" wrapText="1"/>
    </xf>
    <xf numFmtId="2" fontId="0" fillId="8" borderId="37" xfId="0" applyNumberFormat="1" applyFill="1" applyBorder="1" applyAlignment="1">
      <alignment horizontal="center"/>
    </xf>
    <xf numFmtId="0" fontId="0" fillId="8" borderId="37" xfId="0" applyFill="1" applyBorder="1" applyAlignment="1">
      <alignment horizontal="center"/>
    </xf>
    <xf numFmtId="2" fontId="0" fillId="8" borderId="40" xfId="0" applyNumberFormat="1" applyFill="1" applyBorder="1" applyAlignment="1">
      <alignment horizontal="center"/>
    </xf>
    <xf numFmtId="0" fontId="0" fillId="8" borderId="40" xfId="0" applyFill="1" applyBorder="1" applyAlignment="1">
      <alignment horizontal="center"/>
    </xf>
    <xf numFmtId="0" fontId="17" fillId="9" borderId="55" xfId="0" applyFont="1" applyFill="1" applyBorder="1" applyAlignment="1">
      <alignment horizontal="center" wrapText="1"/>
    </xf>
    <xf numFmtId="0" fontId="17" fillId="9" borderId="64" xfId="0" applyFont="1" applyFill="1" applyBorder="1" applyAlignment="1">
      <alignment horizontal="center" wrapText="1"/>
    </xf>
    <xf numFmtId="0" fontId="17" fillId="9" borderId="56" xfId="0" applyFont="1" applyFill="1" applyBorder="1" applyAlignment="1">
      <alignment horizontal="center" wrapText="1"/>
    </xf>
    <xf numFmtId="0" fontId="11" fillId="0" borderId="75" xfId="0" applyFont="1" applyBorder="1" applyAlignment="1">
      <alignment horizontal="center" vertical="center" wrapText="1"/>
    </xf>
    <xf numFmtId="0" fontId="24" fillId="0" borderId="27" xfId="0" applyFont="1" applyBorder="1"/>
    <xf numFmtId="0" fontId="1" fillId="0" borderId="27" xfId="0" applyFont="1" applyBorder="1"/>
    <xf numFmtId="0" fontId="6" fillId="0" borderId="51" xfId="0" applyFont="1" applyBorder="1"/>
    <xf numFmtId="0" fontId="6" fillId="0" borderId="76" xfId="0" applyFont="1" applyBorder="1"/>
    <xf numFmtId="0" fontId="27" fillId="8" borderId="41" xfId="0" applyFont="1" applyFill="1" applyBorder="1" applyAlignment="1">
      <alignment horizontal="center"/>
    </xf>
    <xf numFmtId="49" fontId="0" fillId="8" borderId="43" xfId="0" applyNumberFormat="1" applyFill="1" applyBorder="1" applyAlignment="1">
      <alignment horizontal="center" vertical="center"/>
    </xf>
    <xf numFmtId="0" fontId="0" fillId="8" borderId="44" xfId="0" applyFill="1" applyBorder="1" applyAlignment="1">
      <alignment horizontal="center" vertical="center"/>
    </xf>
    <xf numFmtId="0" fontId="0" fillId="0" borderId="44" xfId="0" applyBorder="1" applyAlignment="1">
      <alignment horizontal="center" vertical="center"/>
    </xf>
    <xf numFmtId="2" fontId="0" fillId="8" borderId="44" xfId="0" applyNumberFormat="1" applyFill="1" applyBorder="1" applyAlignment="1">
      <alignment horizontal="center"/>
    </xf>
    <xf numFmtId="0" fontId="0" fillId="8" borderId="44" xfId="0" applyFill="1" applyBorder="1" applyAlignment="1">
      <alignment horizontal="center"/>
    </xf>
    <xf numFmtId="4" fontId="33" fillId="9" borderId="55" xfId="0" applyNumberFormat="1" applyFont="1" applyFill="1" applyBorder="1" applyAlignment="1">
      <alignment horizontal="center" vertical="center" wrapText="1"/>
    </xf>
    <xf numFmtId="4" fontId="33" fillId="9" borderId="64" xfId="0" applyNumberFormat="1" applyFont="1" applyFill="1" applyBorder="1" applyAlignment="1">
      <alignment horizontal="center" vertical="center" wrapText="1"/>
    </xf>
    <xf numFmtId="4" fontId="33" fillId="9" borderId="56" xfId="0" applyNumberFormat="1" applyFont="1" applyFill="1" applyBorder="1" applyAlignment="1">
      <alignment horizontal="center" vertical="center" wrapText="1"/>
    </xf>
    <xf numFmtId="0" fontId="34" fillId="14" borderId="74" xfId="0" applyFont="1" applyFill="1" applyBorder="1" applyAlignment="1">
      <alignment horizontal="right"/>
    </xf>
    <xf numFmtId="0" fontId="35" fillId="14" borderId="55" xfId="0" applyFont="1" applyFill="1" applyBorder="1" applyAlignment="1">
      <alignment horizontal="right"/>
    </xf>
    <xf numFmtId="0" fontId="35" fillId="14" borderId="56" xfId="0" applyFont="1" applyFill="1" applyBorder="1" applyAlignment="1">
      <alignment horizontal="right"/>
    </xf>
    <xf numFmtId="0" fontId="34" fillId="15" borderId="55" xfId="0" applyFont="1" applyFill="1" applyBorder="1" applyAlignment="1">
      <alignment horizontal="right"/>
    </xf>
    <xf numFmtId="0" fontId="34" fillId="15" borderId="56" xfId="0" applyFont="1" applyFill="1" applyBorder="1" applyAlignment="1">
      <alignment horizontal="right"/>
    </xf>
    <xf numFmtId="165" fontId="34" fillId="15" borderId="55" xfId="0" applyNumberFormat="1" applyFont="1" applyFill="1" applyBorder="1" applyAlignment="1">
      <alignment horizontal="right"/>
    </xf>
    <xf numFmtId="165" fontId="34" fillId="15" borderId="56" xfId="0" applyNumberFormat="1" applyFont="1" applyFill="1" applyBorder="1" applyAlignment="1">
      <alignment horizontal="right"/>
    </xf>
    <xf numFmtId="0" fontId="36" fillId="0" borderId="0" xfId="0" applyFont="1" applyAlignment="1">
      <alignment horizontal="center" vertical="center"/>
    </xf>
    <xf numFmtId="0" fontId="37" fillId="0" borderId="0" xfId="0" applyFont="1"/>
    <xf numFmtId="0" fontId="38" fillId="0" borderId="0" xfId="0" applyFont="1"/>
    <xf numFmtId="0" fontId="14" fillId="0" borderId="64" xfId="0" applyFont="1" applyBorder="1" applyAlignment="1">
      <alignment horizontal="right" vertical="center"/>
    </xf>
    <xf numFmtId="0" fontId="14" fillId="0" borderId="77" xfId="0" applyFont="1" applyBorder="1"/>
    <xf numFmtId="0" fontId="14" fillId="0" borderId="78" xfId="0" applyFont="1" applyBorder="1"/>
    <xf numFmtId="0" fontId="14" fillId="0" borderId="78" xfId="0" applyFont="1" applyBorder="1" applyAlignment="1">
      <alignment horizontal="right" vertical="center"/>
    </xf>
  </cellXfs>
  <cellStyles count="23">
    <cellStyle name="Normal" xfId="0" builtinId="0"/>
    <cellStyle name="Normal 10" xfId="11" xr:uid="{77E61821-8C5B-4500-9AA0-FB11C19C7128}"/>
    <cellStyle name="Normal 11" xfId="12" xr:uid="{F47709D9-55C9-4497-AE7A-2F163A03D50C}"/>
    <cellStyle name="Normal 12" xfId="13" xr:uid="{4E9D32E4-DF3B-4652-A641-F50FF467FA23}"/>
    <cellStyle name="Normal 13" xfId="14" xr:uid="{A6791F62-A30F-4CF4-A514-FF980256E2D1}"/>
    <cellStyle name="Normal 14" xfId="15" xr:uid="{1C47F9BA-9FF7-412B-8602-27C885FE5718}"/>
    <cellStyle name="Normal 15" xfId="16" xr:uid="{DE766E6A-7BA4-4237-91AC-E72991ABB606}"/>
    <cellStyle name="Normal 16" xfId="17" xr:uid="{C1105720-3ED5-4EF0-A81D-9DBC925FC929}"/>
    <cellStyle name="Normal 17" xfId="18" xr:uid="{E11D96D0-CD0E-4F4A-A16A-A66C35331103}"/>
    <cellStyle name="Normal 18" xfId="19" xr:uid="{211E46D5-0E86-4940-8730-5951E19AD07E}"/>
    <cellStyle name="Normal 19" xfId="20" xr:uid="{70298A69-376E-47DF-ADAB-49DAF99D882D}"/>
    <cellStyle name="Normal 2" xfId="1" xr:uid="{59F161FD-C68C-4074-A90F-5ECD733FCC7A}"/>
    <cellStyle name="Normal 2 2" xfId="4" xr:uid="{9DD18051-9FD6-492E-8BCE-CCC5F805A159}"/>
    <cellStyle name="Normal 20" xfId="21" xr:uid="{58C8D859-1D64-41A2-8447-7B621461786C}"/>
    <cellStyle name="Normal 21" xfId="22" xr:uid="{D32357F4-8096-4B12-AB25-3BABA2D04658}"/>
    <cellStyle name="Normal 3" xfId="3" xr:uid="{10B1D829-3F3E-4C2D-98FF-CF247583589F}"/>
    <cellStyle name="Normal 4" xfId="5" xr:uid="{9B77EADF-485E-499C-B415-34B52FC12EDE}"/>
    <cellStyle name="Normal 5" xfId="6" xr:uid="{DACD6615-7283-4D84-BB2F-B099E77D0712}"/>
    <cellStyle name="Normal 6" xfId="7" xr:uid="{79D65E55-4BB8-42F8-BD72-053995E95734}"/>
    <cellStyle name="Normal 7" xfId="8" xr:uid="{6C0E6E25-2CEB-487B-8C0C-8997B1A4FA8A}"/>
    <cellStyle name="Normal 8" xfId="9" xr:uid="{E8C7CF05-CD3A-4E59-9F63-599D425633E4}"/>
    <cellStyle name="Normal 9" xfId="10" xr:uid="{1E2E18DA-1EBF-4B0B-B78A-12C4E86EC8A7}"/>
    <cellStyle name="Percent" xfId="2" builtinId="5"/>
  </cellStyles>
  <dxfs count="4">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45</xdr:col>
      <xdr:colOff>314325</xdr:colOff>
      <xdr:row>21</xdr:row>
      <xdr:rowOff>138113</xdr:rowOff>
    </xdr:from>
    <xdr:ext cx="2057400" cy="762000"/>
    <xdr:sp macro="" textlink="">
      <xdr:nvSpPr>
        <xdr:cNvPr id="3" name="Shape 3">
          <a:extLst>
            <a:ext uri="{FF2B5EF4-FFF2-40B4-BE49-F238E27FC236}">
              <a16:creationId xmlns:a16="http://schemas.microsoft.com/office/drawing/2014/main" id="{00000000-0008-0000-0000-000003000000}"/>
            </a:ext>
          </a:extLst>
        </xdr:cNvPr>
        <xdr:cNvSpPr/>
      </xdr:nvSpPr>
      <xdr:spPr>
        <a:xfrm>
          <a:off x="14873963775" y="5948363"/>
          <a:ext cx="2057400" cy="762000"/>
        </a:xfrm>
        <a:custGeom>
          <a:avLst/>
          <a:gdLst/>
          <a:ahLst/>
          <a:cxnLst/>
          <a:rect l="l" t="t" r="r" b="b"/>
          <a:pathLst>
            <a:path w="120000" h="120000" extrusionOk="0">
              <a:moveTo>
                <a:pt x="0" y="0"/>
              </a:moveTo>
              <a:lnTo>
                <a:pt x="120000" y="0"/>
              </a:lnTo>
              <a:lnTo>
                <a:pt x="120000" y="120000"/>
              </a:lnTo>
              <a:lnTo>
                <a:pt x="0" y="120000"/>
              </a:lnTo>
              <a:close/>
            </a:path>
            <a:path w="120000" h="120000" fill="none" extrusionOk="0">
              <a:moveTo>
                <a:pt x="122376" y="49772"/>
              </a:moveTo>
              <a:lnTo>
                <a:pt x="490878" y="47423"/>
              </a:lnTo>
              <a:lnTo>
                <a:pt x="490904" y="170124"/>
              </a:lnTo>
            </a:path>
          </a:pathLst>
        </a:custGeom>
        <a:solidFill>
          <a:srgbClr val="FFFF00"/>
        </a:solidFill>
        <a:ln w="50800" cap="flat" cmpd="sng">
          <a:solidFill>
            <a:srgbClr val="000082"/>
          </a:solidFill>
          <a:prstDash val="solid"/>
          <a:round/>
          <a:headEnd type="none" w="sm" len="sm"/>
          <a:tailEnd type="none" w="sm" len="sm"/>
        </a:ln>
      </xdr:spPr>
      <xdr:txBody>
        <a:bodyPr spcFirstLastPara="1" wrap="square" lIns="91425" tIns="45700" rIns="91425" bIns="45700" anchor="t" anchorCtr="0">
          <a:noAutofit/>
        </a:bodyPr>
        <a:lstStyle/>
        <a:p>
          <a:pPr marL="0" lvl="0" indent="0" algn="ctr" rtl="1">
            <a:spcBef>
              <a:spcPts val="0"/>
            </a:spcBef>
            <a:spcAft>
              <a:spcPts val="0"/>
            </a:spcAft>
            <a:buClr>
              <a:srgbClr val="002060"/>
            </a:buClr>
            <a:buSzPts val="1200"/>
            <a:buFont typeface="Calibri"/>
            <a:buNone/>
          </a:pPr>
          <a:r>
            <a:rPr lang="en-US" sz="1200" b="1" u="none">
              <a:solidFill>
                <a:srgbClr val="002060"/>
              </a:solidFill>
              <a:latin typeface="Calibri"/>
              <a:ea typeface="Calibri"/>
              <a:cs typeface="Calibri"/>
              <a:sym typeface="Calibri"/>
            </a:rPr>
            <a:t>ראה הסבר מפורט בלשונית "הנחיות למילוי נספח ג4"</a:t>
          </a:r>
          <a:endParaRPr sz="1200" b="1" u="none">
            <a:solidFill>
              <a:srgbClr val="FF0000"/>
            </a:solidFill>
          </a:endParaRPr>
        </a:p>
      </xdr:txBody>
    </xdr:sp>
    <xdr:clientData fLocksWithSheet="0"/>
  </xdr:oneCellAnchor>
  <xdr:oneCellAnchor>
    <xdr:from>
      <xdr:col>1841</xdr:col>
      <xdr:colOff>542925</xdr:colOff>
      <xdr:row>0</xdr:row>
      <xdr:rowOff>28575</xdr:rowOff>
    </xdr:from>
    <xdr:ext cx="2714625" cy="2105025"/>
    <xdr:sp macro="" textlink="">
      <xdr:nvSpPr>
        <xdr:cNvPr id="4" name="Shape 4">
          <a:extLst>
            <a:ext uri="{FF2B5EF4-FFF2-40B4-BE49-F238E27FC236}">
              <a16:creationId xmlns:a16="http://schemas.microsoft.com/office/drawing/2014/main" id="{00000000-0008-0000-0000-000004000000}"/>
            </a:ext>
          </a:extLst>
        </xdr:cNvPr>
        <xdr:cNvSpPr/>
      </xdr:nvSpPr>
      <xdr:spPr>
        <a:xfrm>
          <a:off x="4012500" y="2751300"/>
          <a:ext cx="2667000" cy="2057400"/>
        </a:xfrm>
        <a:custGeom>
          <a:avLst/>
          <a:gdLst/>
          <a:ahLst/>
          <a:cxnLst/>
          <a:rect l="l" t="t" r="r" b="b"/>
          <a:pathLst>
            <a:path w="120000" h="120000" extrusionOk="0">
              <a:moveTo>
                <a:pt x="0" y="0"/>
              </a:moveTo>
              <a:lnTo>
                <a:pt x="120000" y="0"/>
              </a:lnTo>
              <a:lnTo>
                <a:pt x="120000" y="120000"/>
              </a:lnTo>
              <a:lnTo>
                <a:pt x="0" y="120000"/>
              </a:lnTo>
              <a:close/>
            </a:path>
            <a:path w="120000" h="120000" fill="none" extrusionOk="0">
              <a:moveTo>
                <a:pt x="120187" y="55492"/>
              </a:moveTo>
              <a:lnTo>
                <a:pt x="216472" y="65771"/>
              </a:lnTo>
              <a:lnTo>
                <a:pt x="229264" y="90221"/>
              </a:lnTo>
            </a:path>
          </a:pathLst>
        </a:custGeom>
        <a:solidFill>
          <a:srgbClr val="FFFF00"/>
        </a:solidFill>
        <a:ln w="50800" cap="flat" cmpd="sng">
          <a:solidFill>
            <a:srgbClr val="000082"/>
          </a:solidFill>
          <a:prstDash val="solid"/>
          <a:round/>
          <a:headEnd type="none" w="sm" len="sm"/>
          <a:tailEnd type="none" w="sm" len="sm"/>
        </a:ln>
      </xdr:spPr>
      <xdr:txBody>
        <a:bodyPr spcFirstLastPara="1" wrap="square" lIns="91425" tIns="45700" rIns="91425" bIns="45700" anchor="t" anchorCtr="0">
          <a:noAutofit/>
        </a:bodyPr>
        <a:lstStyle/>
        <a:p>
          <a:pPr marL="0" lvl="0" indent="0" algn="ctr" rtl="1">
            <a:spcBef>
              <a:spcPts val="0"/>
            </a:spcBef>
            <a:spcAft>
              <a:spcPts val="0"/>
            </a:spcAft>
            <a:buClr>
              <a:srgbClr val="002060"/>
            </a:buClr>
            <a:buSzPts val="1100"/>
            <a:buFont typeface="Calibri"/>
            <a:buNone/>
          </a:pPr>
          <a:r>
            <a:rPr lang="en-US" sz="1100" b="1" u="sng">
              <a:solidFill>
                <a:srgbClr val="002060"/>
              </a:solidFill>
              <a:latin typeface="Calibri"/>
              <a:ea typeface="Calibri"/>
              <a:cs typeface="Calibri"/>
              <a:sym typeface="Calibri"/>
            </a:rPr>
            <a:t>לדוגמא: נוסחה לחישוב מחיר דירה לפי מכרז מחיר למשתכן:</a:t>
          </a:r>
          <a:endParaRPr sz="1400"/>
        </a:p>
        <a:p>
          <a:pPr marL="0" lvl="0" indent="0" algn="ctr" rtl="1">
            <a:spcBef>
              <a:spcPts val="0"/>
            </a:spcBef>
            <a:spcAft>
              <a:spcPts val="0"/>
            </a:spcAft>
            <a:buSzPts val="1100"/>
            <a:buFont typeface="Arial"/>
            <a:buNone/>
          </a:pPr>
          <a:endParaRPr sz="1100" b="1" u="sng">
            <a:solidFill>
              <a:srgbClr val="002060"/>
            </a:solidFill>
          </a:endParaRPr>
        </a:p>
        <a:p>
          <a:pPr marL="0" lvl="0" indent="0" algn="ctr" rtl="1">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שטח דירה במטרים - מוכפל במחיר למטר כולל מע"מ בש"ח +</a:t>
          </a:r>
          <a:endParaRPr sz="1400"/>
        </a:p>
        <a:p>
          <a:pPr marL="0" lvl="0" indent="0" algn="ctr" rtl="1">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שטח מרפסת שמש ו/או שטח גינה - מוכפל ב- X% מחיר למטר כולל מע"מ בש"ח  + </a:t>
          </a:r>
          <a:endParaRPr sz="1400"/>
        </a:p>
        <a:p>
          <a:pPr marL="0" lvl="0" indent="0" algn="ctr" rtl="1">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שטח מחסן - מוכפל ב- X% מחיר למטר כולל מע"מ בש"ח +</a:t>
          </a:r>
          <a:endParaRPr sz="1400"/>
        </a:p>
        <a:p>
          <a:pPr marL="0" lvl="0" indent="0" algn="ctr" rtl="1">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מספר חניות - מוכפל ב- X%  מחיר למטר כולל מע"מ בש"ח </a:t>
          </a:r>
          <a:endParaRPr sz="1100">
            <a:solidFill>
              <a:schemeClr val="dk1"/>
            </a:solidFill>
            <a:latin typeface="Calibri"/>
            <a:ea typeface="Calibri"/>
            <a:cs typeface="Calibri"/>
            <a:sym typeface="Calibri"/>
          </a:endParaRPr>
        </a:p>
        <a:p>
          <a:pPr marL="0" lvl="0" indent="0" algn="ctr" rtl="1">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ctr" rtl="1">
            <a:spcBef>
              <a:spcPts val="0"/>
            </a:spcBef>
            <a:spcAft>
              <a:spcPts val="0"/>
            </a:spcAft>
            <a:buClr>
              <a:srgbClr val="FF0000"/>
            </a:buClr>
            <a:buSzPts val="1100"/>
            <a:buFont typeface="Calibri"/>
            <a:buNone/>
          </a:pPr>
          <a:r>
            <a:rPr lang="en-US" sz="1100" b="1">
              <a:solidFill>
                <a:srgbClr val="FF0000"/>
              </a:solidFill>
              <a:latin typeface="Calibri"/>
              <a:ea typeface="Calibri"/>
              <a:cs typeface="Calibri"/>
              <a:sym typeface="Calibri"/>
            </a:rPr>
            <a:t>האחוזים יכולים להיות שונים ממכרז למכרז וכמו כן גם שינויים נוספים בתמחורי הדירות כגון מקדמי קומות וכדומה. באחריות הקבלן להוסיף נוסחא לחישוב מחיר הדירה!!!</a:t>
          </a:r>
          <a:endParaRPr sz="1100" b="1">
            <a:solidFill>
              <a:srgbClr val="FF0000"/>
            </a:solidFill>
          </a:endParaRPr>
        </a:p>
      </xdr:txBody>
    </xdr:sp>
    <xdr:clientData fLocksWithSheet="0"/>
  </xdr:oneCellAnchor>
  <xdr:oneCellAnchor>
    <xdr:from>
      <xdr:col>45</xdr:col>
      <xdr:colOff>538162</xdr:colOff>
      <xdr:row>38</xdr:row>
      <xdr:rowOff>166688</xdr:rowOff>
    </xdr:from>
    <xdr:ext cx="323850" cy="819150"/>
    <xdr:sp macro="" textlink="">
      <xdr:nvSpPr>
        <xdr:cNvPr id="5" name="Shape 5">
          <a:extLst>
            <a:ext uri="{FF2B5EF4-FFF2-40B4-BE49-F238E27FC236}">
              <a16:creationId xmlns:a16="http://schemas.microsoft.com/office/drawing/2014/main" id="{00000000-0008-0000-0000-000005000000}"/>
            </a:ext>
          </a:extLst>
        </xdr:cNvPr>
        <xdr:cNvSpPr/>
      </xdr:nvSpPr>
      <xdr:spPr>
        <a:xfrm>
          <a:off x="14875473488" y="9215438"/>
          <a:ext cx="323850" cy="819150"/>
        </a:xfrm>
        <a:prstGeom prst="down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r" rtl="1">
            <a:spcBef>
              <a:spcPts val="0"/>
            </a:spcBef>
            <a:spcAft>
              <a:spcPts val="0"/>
            </a:spcAft>
            <a:buSzPts val="1100"/>
            <a:buFont typeface="Arial"/>
            <a:buNone/>
          </a:pPr>
          <a:endParaRPr sz="1100"/>
        </a:p>
      </xdr:txBody>
    </xdr:sp>
    <xdr:clientData fLocksWithSheet="0"/>
  </xdr:oneCellAnchor>
  <xdr:oneCellAnchor>
    <xdr:from>
      <xdr:col>41</xdr:col>
      <xdr:colOff>533400</xdr:colOff>
      <xdr:row>38</xdr:row>
      <xdr:rowOff>166688</xdr:rowOff>
    </xdr:from>
    <xdr:ext cx="323850" cy="819150"/>
    <xdr:sp macro="" textlink="">
      <xdr:nvSpPr>
        <xdr:cNvPr id="2" name="Shape 5">
          <a:extLst>
            <a:ext uri="{FF2B5EF4-FFF2-40B4-BE49-F238E27FC236}">
              <a16:creationId xmlns:a16="http://schemas.microsoft.com/office/drawing/2014/main" id="{00000000-0008-0000-0000-000002000000}"/>
            </a:ext>
          </a:extLst>
        </xdr:cNvPr>
        <xdr:cNvSpPr/>
      </xdr:nvSpPr>
      <xdr:spPr>
        <a:xfrm>
          <a:off x="14877764250" y="9215438"/>
          <a:ext cx="323850" cy="819150"/>
        </a:xfrm>
        <a:prstGeom prst="down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r" rtl="1">
            <a:spcBef>
              <a:spcPts val="0"/>
            </a:spcBef>
            <a:spcAft>
              <a:spcPts val="0"/>
            </a:spcAft>
            <a:buSzPts val="1100"/>
            <a:buFont typeface="Arial"/>
            <a:buNone/>
          </a:pPr>
          <a:endParaRPr sz="1100"/>
        </a:p>
      </xdr:txBody>
    </xdr:sp>
    <xdr:clientData fLocksWithSheet="0"/>
  </xdr:oneCellAnchor>
  <xdr:oneCellAnchor>
    <xdr:from>
      <xdr:col>44</xdr:col>
      <xdr:colOff>104775</xdr:colOff>
      <xdr:row>38</xdr:row>
      <xdr:rowOff>166688</xdr:rowOff>
    </xdr:from>
    <xdr:ext cx="323850" cy="819150"/>
    <xdr:sp macro="" textlink="">
      <xdr:nvSpPr>
        <xdr:cNvPr id="6" name="Shape 5">
          <a:extLst>
            <a:ext uri="{FF2B5EF4-FFF2-40B4-BE49-F238E27FC236}">
              <a16:creationId xmlns:a16="http://schemas.microsoft.com/office/drawing/2014/main" id="{00000000-0008-0000-0000-000006000000}"/>
            </a:ext>
          </a:extLst>
        </xdr:cNvPr>
        <xdr:cNvSpPr/>
      </xdr:nvSpPr>
      <xdr:spPr>
        <a:xfrm>
          <a:off x="14876478375" y="9215438"/>
          <a:ext cx="323850" cy="819150"/>
        </a:xfrm>
        <a:prstGeom prst="down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r" rtl="1">
            <a:spcBef>
              <a:spcPts val="0"/>
            </a:spcBef>
            <a:spcAft>
              <a:spcPts val="0"/>
            </a:spcAft>
            <a:buSzPts val="1100"/>
            <a:buFont typeface="Arial"/>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13</xdr:col>
      <xdr:colOff>-9525</xdr:colOff>
      <xdr:row>1</xdr:row>
      <xdr:rowOff>-19050</xdr:rowOff>
    </xdr:from>
    <xdr:ext cx="2752725" cy="1114425"/>
    <xdr:sp macro="" textlink="">
      <xdr:nvSpPr>
        <xdr:cNvPr id="6" name="Shape 6">
          <a:extLst>
            <a:ext uri="{FF2B5EF4-FFF2-40B4-BE49-F238E27FC236}">
              <a16:creationId xmlns:a16="http://schemas.microsoft.com/office/drawing/2014/main" id="{00000000-0008-0000-0200-000006000000}"/>
            </a:ext>
          </a:extLst>
        </xdr:cNvPr>
        <xdr:cNvSpPr/>
      </xdr:nvSpPr>
      <xdr:spPr>
        <a:xfrm>
          <a:off x="3993450" y="3246600"/>
          <a:ext cx="2705100" cy="1066800"/>
        </a:xfrm>
        <a:custGeom>
          <a:avLst/>
          <a:gdLst/>
          <a:ahLst/>
          <a:cxnLst/>
          <a:rect l="l" t="t" r="r" b="b"/>
          <a:pathLst>
            <a:path w="120000" h="120000" extrusionOk="0">
              <a:moveTo>
                <a:pt x="0" y="0"/>
              </a:moveTo>
              <a:lnTo>
                <a:pt x="120000" y="0"/>
              </a:lnTo>
              <a:lnTo>
                <a:pt x="120000" y="120000"/>
              </a:lnTo>
              <a:lnTo>
                <a:pt x="0" y="120000"/>
              </a:lnTo>
              <a:close/>
            </a:path>
            <a:path w="120000" h="120000" fill="none" extrusionOk="0">
              <a:moveTo>
                <a:pt x="120187" y="55492"/>
              </a:moveTo>
              <a:lnTo>
                <a:pt x="219752" y="-1075"/>
              </a:lnTo>
              <a:lnTo>
                <a:pt x="309457" y="135420"/>
              </a:lnTo>
            </a:path>
          </a:pathLst>
        </a:custGeom>
        <a:solidFill>
          <a:srgbClr val="FFFF00"/>
        </a:solidFill>
        <a:ln w="50800" cap="flat" cmpd="sng">
          <a:solidFill>
            <a:srgbClr val="000082"/>
          </a:solidFill>
          <a:prstDash val="solid"/>
          <a:round/>
          <a:headEnd type="none" w="sm" len="sm"/>
          <a:tailEnd type="none" w="sm" len="sm"/>
        </a:ln>
      </xdr:spPr>
      <xdr:txBody>
        <a:bodyPr spcFirstLastPara="1" wrap="square" lIns="91425" tIns="45700" rIns="91425" bIns="45700" anchor="t" anchorCtr="0">
          <a:noAutofit/>
        </a:bodyPr>
        <a:lstStyle/>
        <a:p>
          <a:pPr marL="0" lvl="0" indent="0" algn="r" rtl="1">
            <a:spcBef>
              <a:spcPts val="0"/>
            </a:spcBef>
            <a:spcAft>
              <a:spcPts val="0"/>
            </a:spcAft>
            <a:buClr>
              <a:schemeClr val="dk1"/>
            </a:buClr>
            <a:buSzPts val="1400"/>
            <a:buFont typeface="Calibri"/>
            <a:buNone/>
          </a:pPr>
          <a:r>
            <a:rPr lang="en-US" sz="1400">
              <a:solidFill>
                <a:schemeClr val="dk1"/>
              </a:solidFill>
              <a:latin typeface="Calibri"/>
              <a:ea typeface="Calibri"/>
              <a:cs typeface="Calibri"/>
              <a:sym typeface="Calibri"/>
            </a:rPr>
            <a:t>יש למלא את יח"ד משתכן ויח"ד שוק חופשי בכל בניין.(למלא רק את העמודות בצהוב</a:t>
          </a:r>
          <a:endParaRPr sz="1400"/>
        </a:p>
        <a:p>
          <a:pPr marL="0" lvl="0" indent="0" algn="r" rtl="1">
            <a:spcBef>
              <a:spcPts val="0"/>
            </a:spcBef>
            <a:spcAft>
              <a:spcPts val="0"/>
            </a:spcAft>
            <a:buSzPts val="1400"/>
            <a:buFont typeface="Arial"/>
            <a:buNone/>
          </a:pPr>
          <a:endParaRPr sz="1400">
            <a:solidFill>
              <a:schemeClr val="dk1"/>
            </a:solidFill>
          </a:endParaRPr>
        </a:p>
      </xdr:txBody>
    </xdr:sp>
    <xdr:clientData fLocksWithSheet="0"/>
  </xdr:oneCellAnchor>
  <xdr:oneCellAnchor>
    <xdr:from>
      <xdr:col>12</xdr:col>
      <xdr:colOff>-38100</xdr:colOff>
      <xdr:row>18</xdr:row>
      <xdr:rowOff>95250</xdr:rowOff>
    </xdr:from>
    <xdr:ext cx="2752725" cy="1162050"/>
    <xdr:sp macro="" textlink="">
      <xdr:nvSpPr>
        <xdr:cNvPr id="7" name="Shape 7">
          <a:extLst>
            <a:ext uri="{FF2B5EF4-FFF2-40B4-BE49-F238E27FC236}">
              <a16:creationId xmlns:a16="http://schemas.microsoft.com/office/drawing/2014/main" id="{00000000-0008-0000-0200-000007000000}"/>
            </a:ext>
          </a:extLst>
        </xdr:cNvPr>
        <xdr:cNvSpPr/>
      </xdr:nvSpPr>
      <xdr:spPr>
        <a:xfrm>
          <a:off x="3993450" y="3222788"/>
          <a:ext cx="2705100" cy="1114425"/>
        </a:xfrm>
        <a:custGeom>
          <a:avLst/>
          <a:gdLst/>
          <a:ahLst/>
          <a:cxnLst/>
          <a:rect l="l" t="t" r="r" b="b"/>
          <a:pathLst>
            <a:path w="120000" h="120000" extrusionOk="0">
              <a:moveTo>
                <a:pt x="0" y="0"/>
              </a:moveTo>
              <a:lnTo>
                <a:pt x="120000" y="0"/>
              </a:lnTo>
              <a:lnTo>
                <a:pt x="120000" y="120000"/>
              </a:lnTo>
              <a:lnTo>
                <a:pt x="0" y="120000"/>
              </a:lnTo>
              <a:close/>
            </a:path>
            <a:path w="120000" h="120000" fill="none" extrusionOk="0">
              <a:moveTo>
                <a:pt x="120187" y="55492"/>
              </a:moveTo>
              <a:lnTo>
                <a:pt x="219754" y="51866"/>
              </a:lnTo>
              <a:lnTo>
                <a:pt x="306113" y="77772"/>
              </a:lnTo>
            </a:path>
          </a:pathLst>
        </a:custGeom>
        <a:solidFill>
          <a:srgbClr val="FF0000"/>
        </a:solidFill>
        <a:ln w="50800" cap="flat" cmpd="sng">
          <a:solidFill>
            <a:srgbClr val="000082"/>
          </a:solidFill>
          <a:prstDash val="solid"/>
          <a:round/>
          <a:headEnd type="none" w="sm" len="sm"/>
          <a:tailEnd type="none" w="sm" len="sm"/>
        </a:ln>
      </xdr:spPr>
      <xdr:txBody>
        <a:bodyPr spcFirstLastPara="1" wrap="square" lIns="91425" tIns="45700" rIns="91425" bIns="45700" anchor="t" anchorCtr="0">
          <a:noAutofit/>
        </a:bodyPr>
        <a:lstStyle/>
        <a:p>
          <a:pPr marL="0" lvl="0" indent="0" algn="ctr" rtl="1">
            <a:spcBef>
              <a:spcPts val="0"/>
            </a:spcBef>
            <a:spcAft>
              <a:spcPts val="0"/>
            </a:spcAft>
            <a:buClr>
              <a:schemeClr val="lt1"/>
            </a:buClr>
            <a:buSzPts val="1400"/>
            <a:buFont typeface="Calibri"/>
            <a:buNone/>
          </a:pPr>
          <a:r>
            <a:rPr lang="en-US" sz="1400" b="1">
              <a:solidFill>
                <a:schemeClr val="lt1"/>
              </a:solidFill>
              <a:latin typeface="Calibri"/>
              <a:ea typeface="Calibri"/>
              <a:cs typeface="Calibri"/>
              <a:sym typeface="Calibri"/>
            </a:rPr>
            <a:t>לא לשנות את אחוז דירות בשוק החופשי . מחשב ע"פ נוסחה</a:t>
          </a:r>
          <a:endParaRPr sz="1400"/>
        </a:p>
        <a:p>
          <a:pPr marL="0" lvl="0" indent="0" algn="ctr" rtl="1">
            <a:spcBef>
              <a:spcPts val="0"/>
            </a:spcBef>
            <a:spcAft>
              <a:spcPts val="0"/>
            </a:spcAft>
            <a:buSzPts val="1400"/>
            <a:buFont typeface="Arial"/>
            <a:buNone/>
          </a:pPr>
          <a:endParaRPr sz="1400">
            <a:solidFill>
              <a:schemeClr val="lt1"/>
            </a:solidFill>
          </a:endParaRPr>
        </a:p>
      </xdr:txBody>
    </xdr:sp>
    <xdr:clientData fLocksWithSheet="0"/>
  </xdr:oneCellAnchor>
  <xdr:oneCellAnchor>
    <xdr:from>
      <xdr:col>6</xdr:col>
      <xdr:colOff>1343025</xdr:colOff>
      <xdr:row>19</xdr:row>
      <xdr:rowOff>114300</xdr:rowOff>
    </xdr:from>
    <xdr:ext cx="942975" cy="1181100"/>
    <xdr:sp macro="" textlink="">
      <xdr:nvSpPr>
        <xdr:cNvPr id="8" name="Shape 8">
          <a:extLst>
            <a:ext uri="{FF2B5EF4-FFF2-40B4-BE49-F238E27FC236}">
              <a16:creationId xmlns:a16="http://schemas.microsoft.com/office/drawing/2014/main" id="{00000000-0008-0000-0200-000008000000}"/>
            </a:ext>
          </a:extLst>
        </xdr:cNvPr>
        <xdr:cNvSpPr/>
      </xdr:nvSpPr>
      <xdr:spPr>
        <a:xfrm>
          <a:off x="4884038" y="3198975"/>
          <a:ext cx="923925" cy="1162050"/>
        </a:xfrm>
        <a:prstGeom prst="ellipse">
          <a:avLst/>
        </a:prstGeom>
        <a:no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r" rtl="1">
            <a:spcBef>
              <a:spcPts val="0"/>
            </a:spcBef>
            <a:spcAft>
              <a:spcPts val="0"/>
            </a:spcAft>
            <a:buSzPts val="1100"/>
            <a:buFont typeface="Arial"/>
            <a:buNone/>
          </a:pPr>
          <a:endParaRPr sz="11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a1-my.sharepoint.com/personal/pniot_eta_org_il/Documents/KABLANIM/777_&#1512;&#1502;&#1514;%20&#1490;&#1503;_&#1512;&#1502;&#1497;_&#1513;&#1489;&#1497;&#1512;&#1493;_&#1492;&#1504;&#1491;&#1505;&#1492;_&#1489;&#1504;&#1497;&#1492;_&#1493;&#1492;&#1513;&#1511;&#1506;&#1493;&#1514;_&#1489;&#1506;&#1502;/&#1504;&#1514;&#1493;&#1504;&#1497;_&#1511;&#1489;&#1500;&#1503;_&#1512;&#1502;&#1514;%20&#1490;&#1503;_&#1512;&#1502;&#1497;_&#1513;&#1489;&#1497;&#1512;&#1493;_&#1492;&#1504;&#1491;&#1505;&#1492;_&#1489;&#1504;&#1497;&#1492;_&#1493;&#1492;&#1513;&#1511;&#1506;&#1493;&#1514;_&#1489;&#1506;&#1502;_777/&#1504;&#1514;&#1493;&#1504;&#1497;&#1501;%20&#1492;&#1504;&#1491;&#1505;&#1497;&#1497;&#1501;/&#1490;4/&#1490;4%20&#1505;&#1493;&#1508;&#1497;%20&#1493;&#1495;&#1514;&#1493;&#15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a1-my.sharepoint.com/personal/yairka_eta_org_il/Documents/&#1497;&#1488;&#1497;&#1512;/&#1514;&#1499;&#1504;&#1497;&#1501;%20&#1495;&#1493;&#1502;&#1512;&#1497;&#1501;%20&#1493;&#1492;&#1504;&#1495;&#1497;&#1493;&#1514;%20&#1500;&#1497;&#1494;&#1502;&#1497;&#1501;&#1500;&#1506;&#1512;&#1497;&#1499;&#1492;%20&#1500;&#1488;%20&#1500;&#1513;&#1500;&#1497;&#1495;&#1492;/&#1502;&#1506;&#1493;&#1491;&#1499;&#1503;%20&#1504;&#1505;&#1508;&#1495;%20&#1490;'4%20-%20&#1500;&#1492;&#1513;&#1500;&#1502;&#1492;%20&#1506;&#1497;%20&#1492;&#1511;&#1489;&#1500;&#15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משימות"/>
      <sheetName val="סיכום שטחים לפי מגרשים"/>
      <sheetName val="סיכום מתחמים"/>
      <sheetName val="סיכום שטחים לרישוי"/>
      <sheetName val="טיפוסי דירות"/>
      <sheetName val="כמויות"/>
      <sheetName val="טיפוס A"/>
      <sheetName val="טיפוס B"/>
      <sheetName val="טיפוס C"/>
      <sheetName val="טיפוס C1"/>
      <sheetName val="גבהים"/>
      <sheetName val="חניונים"/>
      <sheetName val="שיוך מחסנים וחניות"/>
      <sheetName val="מחסנים"/>
      <sheetName val="מעברים"/>
      <sheetName val="מרפסות - גינות"/>
      <sheetName val="ג4 777"/>
      <sheetName val="ג4 102"/>
      <sheetName val="ג4 778"/>
      <sheetName val="רשימת יועצים"/>
      <sheetName val="מעכב רישוי זמין"/>
      <sheetName val="מהות הבקשות"/>
      <sheetName val="הקלות"/>
      <sheetName val="גליון פרמטרים והערות"/>
      <sheetName val="מעכב תכניות עבודה"/>
      <sheetName val="Sheet3"/>
      <sheetName val="חתך"/>
      <sheetName val="ג4 סופי וחתום"/>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101-1</v>
          </cell>
        </row>
      </sheetData>
      <sheetData sheetId="13"/>
      <sheetData sheetId="14"/>
      <sheetData sheetId="15">
        <row r="1">
          <cell r="B1" t="str">
            <v>מרפסות _A</v>
          </cell>
        </row>
      </sheetData>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מחיר למשתכן"/>
      <sheetName val="סיכום בניינים"/>
    </sheetNames>
    <sheetDataSet>
      <sheetData sheetId="0"/>
      <sheetData sheetId="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A265"/>
  <sheetViews>
    <sheetView rightToLeft="1" tabSelected="1" view="pageBreakPreview" topLeftCell="A224" zoomScale="60" zoomScaleNormal="70" workbookViewId="0">
      <selection activeCell="G3" sqref="G3"/>
    </sheetView>
  </sheetViews>
  <sheetFormatPr defaultColWidth="14.42578125" defaultRowHeight="15" customHeight="1" x14ac:dyDescent="0.25"/>
  <cols>
    <col min="1" max="1" width="30" bestFit="1" customWidth="1"/>
    <col min="2" max="2" width="10.5703125" customWidth="1"/>
    <col min="3" max="3" width="12.7109375" customWidth="1"/>
    <col min="4" max="4" width="11" customWidth="1"/>
    <col min="5" max="5" width="8.28515625" customWidth="1"/>
    <col min="6" max="6" width="12.42578125" customWidth="1"/>
    <col min="7" max="7" width="13.42578125" customWidth="1"/>
    <col min="8" max="8" width="11" hidden="1" customWidth="1"/>
    <col min="9" max="9" width="11.42578125" hidden="1" customWidth="1"/>
    <col min="10" max="10" width="15.85546875" customWidth="1"/>
    <col min="11" max="11" width="13.7109375" customWidth="1"/>
    <col min="12" max="12" width="11.5703125" customWidth="1"/>
    <col min="13" max="13" width="22" hidden="1" customWidth="1"/>
    <col min="14" max="14" width="16.140625" customWidth="1"/>
    <col min="15" max="18" width="12.28515625" hidden="1" customWidth="1"/>
    <col min="19" max="19" width="14.28515625" customWidth="1"/>
    <col min="20" max="20" width="8.5703125" customWidth="1"/>
    <col min="21" max="21" width="13.28515625" customWidth="1"/>
    <col min="22" max="22" width="9" hidden="1" customWidth="1"/>
    <col min="23" max="23" width="17.5703125" hidden="1" customWidth="1"/>
    <col min="24" max="24" width="12.85546875" hidden="1" customWidth="1"/>
    <col min="25" max="27" width="8.7109375" hidden="1" customWidth="1"/>
    <col min="28" max="28" width="10.85546875" hidden="1" customWidth="1"/>
    <col min="29" max="29" width="10.42578125" hidden="1" customWidth="1"/>
    <col min="30" max="30" width="13" customWidth="1"/>
    <col min="31" max="31" width="16.140625" customWidth="1"/>
    <col min="32" max="32" width="25.28515625" customWidth="1"/>
    <col min="33" max="33" width="11.7109375" customWidth="1"/>
    <col min="34" max="38" width="8.7109375" customWidth="1"/>
    <col min="39" max="39" width="11.7109375" hidden="1" customWidth="1"/>
    <col min="40" max="40" width="10" hidden="1" customWidth="1"/>
    <col min="41" max="1847" width="8.7109375" customWidth="1"/>
  </cols>
  <sheetData>
    <row r="1" spans="1:1847" ht="42.75" customHeight="1" thickBot="1" x14ac:dyDescent="0.55000000000000004">
      <c r="A1" s="316" t="s">
        <v>292</v>
      </c>
      <c r="B1" s="317"/>
      <c r="C1" s="317"/>
      <c r="D1" s="317"/>
      <c r="E1" s="317"/>
      <c r="F1" s="317"/>
      <c r="G1" s="317"/>
      <c r="H1" s="318"/>
      <c r="I1" s="317"/>
      <c r="J1" s="317"/>
      <c r="K1" s="317"/>
      <c r="L1" s="317"/>
      <c r="M1" s="317"/>
      <c r="N1" s="317"/>
      <c r="O1" s="317"/>
      <c r="P1" s="317"/>
      <c r="Q1" s="317"/>
      <c r="R1" s="317"/>
      <c r="S1" s="317"/>
      <c r="T1" s="317"/>
      <c r="AP1" s="94" t="s">
        <v>0</v>
      </c>
      <c r="AQ1" s="95" t="s">
        <v>1</v>
      </c>
      <c r="AR1" s="1" t="s">
        <v>2</v>
      </c>
      <c r="AS1" s="96" t="s">
        <v>3</v>
      </c>
      <c r="AT1" s="97" t="s">
        <v>4</v>
      </c>
      <c r="AU1" s="2" t="s">
        <v>5</v>
      </c>
    </row>
    <row r="2" spans="1:1847" ht="19.5" thickBot="1" x14ac:dyDescent="0.35">
      <c r="A2" s="309" t="s">
        <v>7</v>
      </c>
      <c r="B2" s="310" t="s">
        <v>288</v>
      </c>
      <c r="C2" s="311"/>
      <c r="F2" s="3"/>
      <c r="G2" s="236"/>
      <c r="H2" s="236"/>
      <c r="I2" s="236"/>
      <c r="J2" s="225"/>
      <c r="K2" s="225"/>
      <c r="L2" s="225"/>
      <c r="M2" s="225"/>
      <c r="AP2" s="98">
        <v>2</v>
      </c>
      <c r="AQ2" s="99">
        <f>AS2+AR2</f>
        <v>0</v>
      </c>
      <c r="AR2" s="4">
        <f>COUNTIFS($N$15:$N$296,"לא",$F$15:$F$296,AP2)</f>
        <v>0</v>
      </c>
      <c r="AS2" s="4">
        <f>COUNTIFS($N$15:$N$296,"כן",$F$15:$F$296,$AP$2)</f>
        <v>0</v>
      </c>
      <c r="AT2" s="100" t="e">
        <f>AS2/AQ2</f>
        <v>#DIV/0!</v>
      </c>
      <c r="AU2" s="110" t="e">
        <f>(AT2)/(AR2)</f>
        <v>#DIV/0!</v>
      </c>
    </row>
    <row r="3" spans="1:1847" ht="19.5" thickBot="1" x14ac:dyDescent="0.35">
      <c r="A3" s="309" t="s">
        <v>6</v>
      </c>
      <c r="B3" s="312" t="s">
        <v>249</v>
      </c>
      <c r="C3" s="313"/>
      <c r="AM3" s="199">
        <v>2.5</v>
      </c>
      <c r="AN3" s="200">
        <v>76</v>
      </c>
      <c r="AP3" s="98">
        <v>2.5</v>
      </c>
      <c r="AQ3" s="99">
        <f t="shared" ref="AQ3:AQ10" si="0">AS3+AR3</f>
        <v>3</v>
      </c>
      <c r="AR3" s="4">
        <f>COUNTIFS($N$15:$N$489,"לא",$F$15:$F$489,AP3)</f>
        <v>0</v>
      </c>
      <c r="AS3" s="4">
        <f>COUNTIFS($N$15:$N$296,"כן",$F$15:$F$296,$AP$3)</f>
        <v>3</v>
      </c>
      <c r="AT3" s="100">
        <f t="shared" ref="AT3:AT11" si="1">AS3/AQ3</f>
        <v>1</v>
      </c>
      <c r="AU3" s="110" t="e">
        <f t="shared" ref="AU3:AU10" si="2">(AT3)/(AR3)</f>
        <v>#DIV/0!</v>
      </c>
    </row>
    <row r="4" spans="1:1847" ht="19.5" thickBot="1" x14ac:dyDescent="0.35">
      <c r="A4" s="309" t="s">
        <v>8</v>
      </c>
      <c r="B4" s="312">
        <v>71996</v>
      </c>
      <c r="C4" s="313"/>
      <c r="L4" s="240"/>
      <c r="M4" s="240"/>
      <c r="N4" s="240"/>
      <c r="O4" s="240"/>
      <c r="P4" s="240"/>
      <c r="Q4" s="240"/>
      <c r="R4" s="240"/>
      <c r="S4" s="240"/>
      <c r="AM4" s="149">
        <v>3</v>
      </c>
      <c r="AN4" s="204">
        <v>90</v>
      </c>
      <c r="AP4" s="101">
        <v>3</v>
      </c>
      <c r="AQ4" s="102">
        <f t="shared" si="0"/>
        <v>97</v>
      </c>
      <c r="AR4" s="7">
        <f>COUNTIFS($N$15:$N$489,"לא",$F$15:$F$489,AP4)</f>
        <v>0</v>
      </c>
      <c r="AS4" s="7">
        <f>COUNTIFS($N$15:$N$383,"כן",$F$15:$F$383,$AP$4)</f>
        <v>97</v>
      </c>
      <c r="AT4" s="103">
        <f t="shared" si="1"/>
        <v>1</v>
      </c>
      <c r="AU4" s="111" t="e">
        <f t="shared" si="2"/>
        <v>#DIV/0!</v>
      </c>
    </row>
    <row r="5" spans="1:1847" ht="19.5" thickBot="1" x14ac:dyDescent="0.35">
      <c r="A5" s="309" t="s">
        <v>10</v>
      </c>
      <c r="B5" s="312">
        <v>2416</v>
      </c>
      <c r="C5" s="313"/>
      <c r="F5" s="6"/>
      <c r="N5" s="9"/>
      <c r="O5" s="9"/>
      <c r="P5" s="9"/>
      <c r="Q5" s="9"/>
      <c r="R5" s="9"/>
      <c r="T5" s="9"/>
      <c r="AM5" s="149">
        <v>3.5</v>
      </c>
      <c r="AN5" s="204">
        <v>100</v>
      </c>
      <c r="AP5" s="101">
        <v>3.5</v>
      </c>
      <c r="AQ5" s="102">
        <f t="shared" si="0"/>
        <v>0</v>
      </c>
      <c r="AR5" s="7">
        <f>COUNTIFS($N$15:$N$489,"לא",$F$15:$F$489,AP5)</f>
        <v>0</v>
      </c>
      <c r="AS5" s="7">
        <f>COUNTIFS($N$15:$N$383,"כן",$F$15:$F$383,$AP$5)</f>
        <v>0</v>
      </c>
      <c r="AT5" s="103" t="e">
        <f>AS5/AQ5</f>
        <v>#DIV/0!</v>
      </c>
      <c r="AU5" s="111" t="e">
        <f t="shared" si="2"/>
        <v>#DIV/0!</v>
      </c>
    </row>
    <row r="6" spans="1:1847" ht="19.5" thickBot="1" x14ac:dyDescent="0.35">
      <c r="A6" s="309" t="s">
        <v>12</v>
      </c>
      <c r="B6" s="312">
        <v>234</v>
      </c>
      <c r="C6" s="313"/>
      <c r="D6" s="6"/>
      <c r="E6" s="6"/>
      <c r="F6" s="292" t="s">
        <v>9</v>
      </c>
      <c r="G6" s="293"/>
      <c r="H6" s="293"/>
      <c r="I6" s="293"/>
      <c r="J6" s="294"/>
      <c r="K6" s="306">
        <v>18111.82</v>
      </c>
      <c r="L6" s="307"/>
      <c r="M6" s="308"/>
      <c r="N6" s="9"/>
      <c r="O6" s="9"/>
      <c r="P6" s="9"/>
      <c r="Q6" s="9"/>
      <c r="R6" s="9"/>
      <c r="T6" s="9"/>
      <c r="AM6" s="149">
        <v>4</v>
      </c>
      <c r="AN6" s="204">
        <v>110</v>
      </c>
      <c r="AP6" s="101">
        <v>4</v>
      </c>
      <c r="AQ6" s="102">
        <f t="shared" si="0"/>
        <v>50</v>
      </c>
      <c r="AR6" s="7">
        <f>COUNTIFS($N$15:$N$489,"לא",$F$15:$F$489,AP6)</f>
        <v>0</v>
      </c>
      <c r="AS6" s="7">
        <f>COUNTIFS($N$15:$N$383,"כן",$F$15:$F$383,$AP$6)</f>
        <v>50</v>
      </c>
      <c r="AT6" s="103">
        <f t="shared" si="1"/>
        <v>1</v>
      </c>
      <c r="AU6" s="111" t="e">
        <f t="shared" si="2"/>
        <v>#DIV/0!</v>
      </c>
    </row>
    <row r="7" spans="1:1847" ht="19.5" thickBot="1" x14ac:dyDescent="0.35">
      <c r="A7" s="309" t="s">
        <v>13</v>
      </c>
      <c r="B7" s="312">
        <v>188</v>
      </c>
      <c r="C7" s="313"/>
      <c r="K7" s="5"/>
      <c r="N7" s="9"/>
      <c r="O7" s="9"/>
      <c r="P7" s="9"/>
      <c r="Q7" s="9"/>
      <c r="R7" s="9"/>
      <c r="S7" s="9"/>
      <c r="T7" s="9"/>
      <c r="AM7" s="149">
        <v>4.5</v>
      </c>
      <c r="AN7" s="204">
        <v>120</v>
      </c>
      <c r="AP7" s="101">
        <v>4.5</v>
      </c>
      <c r="AQ7" s="102">
        <f t="shared" si="0"/>
        <v>4</v>
      </c>
      <c r="AR7" s="7">
        <f>COUNTIFS($N$15:$N$489,"לא",$F$15:$F$489,AP7)</f>
        <v>0</v>
      </c>
      <c r="AS7" s="7">
        <f>COUNTIFS($N$15:$N$383,"כן",$F$15:$F$383,$AP$7)</f>
        <v>4</v>
      </c>
      <c r="AT7" s="103">
        <f t="shared" si="1"/>
        <v>1</v>
      </c>
      <c r="AU7" s="111" t="e">
        <f t="shared" si="2"/>
        <v>#DIV/0!</v>
      </c>
    </row>
    <row r="8" spans="1:1847" ht="19.5" thickBot="1" x14ac:dyDescent="0.35">
      <c r="A8" s="309" t="s">
        <v>14</v>
      </c>
      <c r="B8" s="314">
        <f>B7/B6</f>
        <v>0.80341880341880345</v>
      </c>
      <c r="C8" s="315"/>
      <c r="O8" s="9"/>
      <c r="P8" s="9"/>
      <c r="Q8" s="9"/>
      <c r="R8" s="9"/>
      <c r="S8" s="9"/>
      <c r="T8" s="9"/>
      <c r="AM8" s="149">
        <v>5</v>
      </c>
      <c r="AN8" s="204">
        <v>125</v>
      </c>
      <c r="AP8" s="101">
        <v>5</v>
      </c>
      <c r="AQ8" s="102">
        <f t="shared" si="0"/>
        <v>30</v>
      </c>
      <c r="AR8" s="7">
        <f>COUNTIFS($N$15:$N$489,"לא",$F$15:$F$489,AP8)</f>
        <v>11</v>
      </c>
      <c r="AS8" s="7">
        <f>COUNTIFS($N$15:$N$383,"כן",$F$15:$F$383,$AP$8)</f>
        <v>19</v>
      </c>
      <c r="AT8" s="103">
        <f t="shared" si="1"/>
        <v>0.6333333333333333</v>
      </c>
      <c r="AU8" s="111">
        <f t="shared" si="2"/>
        <v>5.7575757575757572E-2</v>
      </c>
    </row>
    <row r="9" spans="1:1847" x14ac:dyDescent="0.25">
      <c r="A9" s="13"/>
      <c r="B9" s="13"/>
      <c r="C9" s="13"/>
      <c r="D9" s="14"/>
      <c r="G9" s="11"/>
      <c r="H9" s="11"/>
      <c r="I9" s="11"/>
      <c r="J9" s="11"/>
      <c r="K9" s="5"/>
      <c r="N9" s="9"/>
      <c r="O9" s="9"/>
      <c r="P9" s="9"/>
      <c r="Q9" s="9"/>
      <c r="R9" s="9"/>
      <c r="S9" s="9"/>
      <c r="T9" s="9"/>
      <c r="AM9" s="149">
        <v>5.5</v>
      </c>
      <c r="AN9" s="204">
        <v>135</v>
      </c>
      <c r="AP9" s="101">
        <v>6</v>
      </c>
      <c r="AQ9" s="102">
        <f t="shared" si="0"/>
        <v>42</v>
      </c>
      <c r="AR9" s="7">
        <f>COUNTIFS($N$15:$N$489,"לא",$F$15:$F$489,AP9)</f>
        <v>27</v>
      </c>
      <c r="AS9" s="7">
        <f>COUNTIFS($N$15:$N$383,"כן",$F$15:$F$383,$AP$9)</f>
        <v>15</v>
      </c>
      <c r="AT9" s="103">
        <f t="shared" si="1"/>
        <v>0.35714285714285715</v>
      </c>
      <c r="AU9" s="111">
        <f t="shared" si="2"/>
        <v>1.3227513227513229E-2</v>
      </c>
    </row>
    <row r="10" spans="1:1847" ht="15.75" thickBot="1" x14ac:dyDescent="0.3">
      <c r="A10" s="13"/>
      <c r="B10" s="13"/>
      <c r="C10" s="13"/>
      <c r="D10" s="14"/>
      <c r="G10" s="11"/>
      <c r="H10" s="11"/>
      <c r="I10" s="11"/>
      <c r="J10" s="11"/>
      <c r="K10" s="5"/>
      <c r="N10" s="9"/>
      <c r="AM10" s="149">
        <v>6</v>
      </c>
      <c r="AN10" s="204">
        <v>145</v>
      </c>
      <c r="AP10" s="104">
        <v>7</v>
      </c>
      <c r="AQ10" s="105">
        <f t="shared" si="0"/>
        <v>8</v>
      </c>
      <c r="AR10" s="10">
        <f>COUNTIFS($N$15:$N$489,"לא",$F$15:$F$489,AP10)</f>
        <v>8</v>
      </c>
      <c r="AS10" s="10">
        <f>COUNTIFS($N$15:$N$383,"כן",$F$15:$F$383,$AP$10)</f>
        <v>0</v>
      </c>
      <c r="AT10" s="106">
        <f t="shared" si="1"/>
        <v>0</v>
      </c>
      <c r="AU10" s="112">
        <f t="shared" si="2"/>
        <v>0</v>
      </c>
    </row>
    <row r="11" spans="1:1847" ht="16.5" thickBot="1" x14ac:dyDescent="0.3">
      <c r="A11" s="13"/>
      <c r="B11" s="13"/>
      <c r="C11" s="13"/>
      <c r="D11" s="14"/>
      <c r="E11" s="6"/>
      <c r="G11" s="11"/>
      <c r="H11" s="11"/>
      <c r="I11" s="11"/>
      <c r="J11" s="11"/>
      <c r="K11" s="5"/>
      <c r="N11" s="9"/>
      <c r="O11" s="9"/>
      <c r="P11" s="9"/>
      <c r="Q11" s="9"/>
      <c r="R11" s="9"/>
      <c r="S11" s="9"/>
      <c r="T11" s="11"/>
      <c r="AJ11" s="234" t="s">
        <v>271</v>
      </c>
      <c r="AK11" s="235"/>
      <c r="AM11" s="205">
        <v>7</v>
      </c>
      <c r="AN11" s="206">
        <v>300</v>
      </c>
      <c r="AP11" s="107" t="s">
        <v>1</v>
      </c>
      <c r="AQ11" s="108">
        <f>SUM(AQ2:AQ10)</f>
        <v>234</v>
      </c>
      <c r="AR11" s="108">
        <f t="shared" ref="AR11:AS11" si="3">SUBTOTAL(9,AR2:AR10)</f>
        <v>46</v>
      </c>
      <c r="AS11" s="109">
        <f t="shared" si="3"/>
        <v>188</v>
      </c>
      <c r="AT11" s="12">
        <f t="shared" si="1"/>
        <v>0.80341880341880345</v>
      </c>
      <c r="AU11" s="150" t="e">
        <f>SUM(AU1:AU10)</f>
        <v>#DIV/0!</v>
      </c>
    </row>
    <row r="12" spans="1:1847" x14ac:dyDescent="0.25">
      <c r="A12" s="13"/>
      <c r="B12" s="13"/>
      <c r="C12" s="13"/>
      <c r="D12" s="14"/>
      <c r="AE12" s="113"/>
      <c r="AJ12" s="179" t="s">
        <v>272</v>
      </c>
      <c r="AK12" s="148">
        <v>1</v>
      </c>
      <c r="AL12" s="203">
        <v>0.85</v>
      </c>
    </row>
    <row r="13" spans="1:1847" ht="15.75" thickBot="1" x14ac:dyDescent="0.3">
      <c r="A13" s="13"/>
      <c r="B13" s="13"/>
      <c r="C13" s="13"/>
      <c r="D13" s="14"/>
      <c r="O13" s="170"/>
      <c r="P13" s="170"/>
      <c r="Q13" s="170"/>
      <c r="R13" s="170"/>
      <c r="S13" s="170"/>
      <c r="AE13" s="113"/>
      <c r="AJ13" s="179" t="s">
        <v>273</v>
      </c>
      <c r="AK13" s="148">
        <v>0.3</v>
      </c>
    </row>
    <row r="14" spans="1:1847" ht="67.5" customHeight="1" thickBot="1" x14ac:dyDescent="0.3">
      <c r="A14" s="241" t="s">
        <v>15</v>
      </c>
      <c r="B14" s="242" t="s">
        <v>16</v>
      </c>
      <c r="C14" s="242" t="s">
        <v>17</v>
      </c>
      <c r="D14" s="242" t="s">
        <v>18</v>
      </c>
      <c r="E14" s="242" t="s">
        <v>19</v>
      </c>
      <c r="F14" s="242" t="s">
        <v>20</v>
      </c>
      <c r="G14" s="242" t="s">
        <v>21</v>
      </c>
      <c r="H14" s="161" t="s">
        <v>289</v>
      </c>
      <c r="I14" s="242" t="s">
        <v>290</v>
      </c>
      <c r="J14" s="242" t="s">
        <v>22</v>
      </c>
      <c r="K14" s="242" t="s">
        <v>23</v>
      </c>
      <c r="L14" s="242" t="s">
        <v>24</v>
      </c>
      <c r="M14" s="242" t="s">
        <v>25</v>
      </c>
      <c r="N14" s="242" t="s">
        <v>26</v>
      </c>
      <c r="O14" s="242" t="s">
        <v>27</v>
      </c>
      <c r="P14" s="242" t="s">
        <v>281</v>
      </c>
      <c r="Q14" s="242" t="s">
        <v>282</v>
      </c>
      <c r="R14" s="242" t="s">
        <v>283</v>
      </c>
      <c r="S14" s="242" t="s">
        <v>284</v>
      </c>
      <c r="T14" s="242" t="s">
        <v>28</v>
      </c>
      <c r="U14" s="254" t="s">
        <v>29</v>
      </c>
      <c r="V14" s="295" t="s">
        <v>290</v>
      </c>
      <c r="W14" s="161" t="s">
        <v>22</v>
      </c>
      <c r="X14" s="161" t="s">
        <v>23</v>
      </c>
      <c r="Z14" s="16" t="s">
        <v>30</v>
      </c>
      <c r="AA14" s="17" t="s">
        <v>31</v>
      </c>
      <c r="AB14" s="17" t="s">
        <v>32</v>
      </c>
      <c r="AC14" s="17" t="s">
        <v>33</v>
      </c>
      <c r="AD14" s="15"/>
      <c r="AE14" s="15"/>
      <c r="AF14" s="15"/>
      <c r="AG14" s="151"/>
      <c r="AI14" s="15"/>
      <c r="AJ14" s="179" t="s">
        <v>274</v>
      </c>
      <c r="AK14" s="148">
        <v>0.2</v>
      </c>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c r="IX14" s="15"/>
      <c r="IY14" s="15"/>
      <c r="IZ14" s="15"/>
      <c r="JA14" s="15"/>
      <c r="JB14" s="15"/>
      <c r="JC14" s="15"/>
      <c r="JD14" s="15"/>
      <c r="JE14" s="15"/>
      <c r="JF14" s="15"/>
      <c r="JG14" s="15"/>
      <c r="JH14" s="15"/>
      <c r="JI14" s="15"/>
      <c r="JJ14" s="15"/>
      <c r="JK14" s="15"/>
      <c r="JL14" s="15"/>
      <c r="JM14" s="15"/>
      <c r="JN14" s="15"/>
      <c r="JO14" s="15"/>
      <c r="JP14" s="15"/>
      <c r="JQ14" s="15"/>
      <c r="JR14" s="15"/>
      <c r="JS14" s="15"/>
      <c r="JT14" s="15"/>
      <c r="JU14" s="15"/>
      <c r="JV14" s="15"/>
      <c r="JW14" s="15"/>
      <c r="JX14" s="15"/>
      <c r="JY14" s="15"/>
      <c r="JZ14" s="15"/>
      <c r="KA14" s="15"/>
      <c r="KB14" s="15"/>
      <c r="KC14" s="15"/>
      <c r="KD14" s="15"/>
      <c r="KE14" s="15"/>
      <c r="KF14" s="15"/>
      <c r="KG14" s="15"/>
      <c r="KH14" s="15"/>
      <c r="KI14" s="15"/>
      <c r="KJ14" s="15"/>
      <c r="KK14" s="15"/>
      <c r="KL14" s="15"/>
      <c r="KM14" s="15"/>
      <c r="KN14" s="15"/>
      <c r="KO14" s="15"/>
      <c r="KP14" s="15"/>
      <c r="KQ14" s="15"/>
      <c r="KR14" s="15"/>
      <c r="KS14" s="15"/>
      <c r="KT14" s="15"/>
      <c r="KU14" s="15"/>
      <c r="KV14" s="15"/>
      <c r="KW14" s="15"/>
      <c r="KX14" s="15"/>
      <c r="KY14" s="15"/>
      <c r="KZ14" s="15"/>
      <c r="LA14" s="15"/>
      <c r="LB14" s="15"/>
      <c r="LC14" s="15"/>
      <c r="LD14" s="15"/>
      <c r="LE14" s="15"/>
      <c r="LF14" s="15"/>
      <c r="LG14" s="15"/>
      <c r="LH14" s="15"/>
      <c r="LI14" s="15"/>
      <c r="LJ14" s="15"/>
      <c r="LK14" s="15"/>
      <c r="LL14" s="15"/>
      <c r="LM14" s="15"/>
      <c r="LN14" s="15"/>
      <c r="LO14" s="15"/>
      <c r="LP14" s="15"/>
      <c r="LQ14" s="15"/>
      <c r="LR14" s="15"/>
      <c r="LS14" s="15"/>
      <c r="LT14" s="15"/>
      <c r="LU14" s="15"/>
      <c r="LV14" s="15"/>
      <c r="LW14" s="15"/>
      <c r="LX14" s="15"/>
      <c r="LY14" s="15"/>
      <c r="LZ14" s="15"/>
      <c r="MA14" s="15"/>
      <c r="MB14" s="15"/>
      <c r="MC14" s="15"/>
      <c r="MD14" s="15"/>
      <c r="ME14" s="15"/>
      <c r="MF14" s="15"/>
      <c r="MG14" s="15"/>
      <c r="MH14" s="15"/>
      <c r="MI14" s="15"/>
      <c r="MJ14" s="15"/>
      <c r="MK14" s="15"/>
      <c r="ML14" s="15"/>
      <c r="MM14" s="15"/>
      <c r="MN14" s="15"/>
      <c r="MO14" s="15"/>
      <c r="MP14" s="15"/>
      <c r="MQ14" s="15"/>
      <c r="MR14" s="15"/>
      <c r="MS14" s="15"/>
      <c r="MT14" s="15"/>
      <c r="MU14" s="15"/>
      <c r="MV14" s="15"/>
      <c r="MW14" s="15"/>
      <c r="MX14" s="15"/>
      <c r="MY14" s="15"/>
      <c r="MZ14" s="15"/>
      <c r="NA14" s="15"/>
      <c r="NB14" s="15"/>
      <c r="NC14" s="15"/>
      <c r="ND14" s="15"/>
      <c r="NE14" s="15"/>
      <c r="NF14" s="15"/>
      <c r="NG14" s="15"/>
      <c r="NH14" s="15"/>
      <c r="NI14" s="15"/>
      <c r="NJ14" s="15"/>
      <c r="NK14" s="15"/>
      <c r="NL14" s="15"/>
      <c r="NM14" s="15"/>
      <c r="NN14" s="15"/>
      <c r="NO14" s="15"/>
      <c r="NP14" s="15"/>
      <c r="NQ14" s="15"/>
      <c r="NR14" s="15"/>
      <c r="NS14" s="15"/>
      <c r="NT14" s="15"/>
      <c r="NU14" s="15"/>
      <c r="NV14" s="15"/>
      <c r="NW14" s="15"/>
      <c r="NX14" s="15"/>
      <c r="NY14" s="15"/>
      <c r="NZ14" s="15"/>
      <c r="OA14" s="15"/>
      <c r="OB14" s="15"/>
      <c r="OC14" s="15"/>
      <c r="OD14" s="15"/>
      <c r="OE14" s="15"/>
      <c r="OF14" s="15"/>
      <c r="OG14" s="15"/>
      <c r="OH14" s="15"/>
      <c r="OI14" s="15"/>
      <c r="OJ14" s="15"/>
      <c r="OK14" s="15"/>
      <c r="OL14" s="15"/>
      <c r="OM14" s="15"/>
      <c r="ON14" s="15"/>
      <c r="OO14" s="15"/>
      <c r="OP14" s="15"/>
      <c r="OQ14" s="15"/>
      <c r="OR14" s="15"/>
      <c r="OS14" s="15"/>
      <c r="OT14" s="15"/>
      <c r="OU14" s="15"/>
      <c r="OV14" s="15"/>
      <c r="OW14" s="15"/>
      <c r="OX14" s="15"/>
      <c r="OY14" s="15"/>
      <c r="OZ14" s="15"/>
      <c r="PA14" s="15"/>
      <c r="PB14" s="15"/>
      <c r="PC14" s="15"/>
      <c r="PD14" s="15"/>
      <c r="PE14" s="15"/>
      <c r="PF14" s="15"/>
      <c r="PG14" s="15"/>
      <c r="PH14" s="15"/>
      <c r="PI14" s="15"/>
      <c r="PJ14" s="15"/>
      <c r="PK14" s="15"/>
      <c r="PL14" s="15"/>
      <c r="PM14" s="15"/>
      <c r="PN14" s="15"/>
      <c r="PO14" s="15"/>
      <c r="PP14" s="15"/>
      <c r="PQ14" s="15"/>
      <c r="PR14" s="15"/>
      <c r="PS14" s="15"/>
      <c r="PT14" s="15"/>
      <c r="PU14" s="15"/>
      <c r="PV14" s="15"/>
      <c r="PW14" s="15"/>
      <c r="PX14" s="15"/>
      <c r="PY14" s="15"/>
      <c r="PZ14" s="15"/>
      <c r="QA14" s="15"/>
      <c r="QB14" s="15"/>
      <c r="QC14" s="15"/>
      <c r="QD14" s="15"/>
      <c r="QE14" s="15"/>
      <c r="QF14" s="15"/>
      <c r="QG14" s="15"/>
      <c r="QH14" s="15"/>
      <c r="QI14" s="15"/>
      <c r="QJ14" s="15"/>
      <c r="QK14" s="15"/>
      <c r="QL14" s="15"/>
      <c r="QM14" s="15"/>
      <c r="QN14" s="15"/>
      <c r="QO14" s="15"/>
      <c r="QP14" s="15"/>
      <c r="QQ14" s="15"/>
      <c r="QR14" s="15"/>
      <c r="QS14" s="15"/>
      <c r="QT14" s="15"/>
      <c r="QU14" s="15"/>
      <c r="QV14" s="15"/>
      <c r="QW14" s="15"/>
      <c r="QX14" s="15"/>
      <c r="QY14" s="15"/>
      <c r="QZ14" s="15"/>
      <c r="RA14" s="15"/>
      <c r="RB14" s="15"/>
      <c r="RC14" s="15"/>
      <c r="RD14" s="15"/>
      <c r="RE14" s="15"/>
      <c r="RF14" s="15"/>
      <c r="RG14" s="15"/>
      <c r="RH14" s="15"/>
      <c r="RI14" s="15"/>
      <c r="RJ14" s="15"/>
      <c r="RK14" s="15"/>
      <c r="RL14" s="15"/>
      <c r="RM14" s="15"/>
      <c r="RN14" s="15"/>
      <c r="RO14" s="15"/>
      <c r="RP14" s="15"/>
      <c r="RQ14" s="15"/>
      <c r="RR14" s="15"/>
      <c r="RS14" s="15"/>
      <c r="RT14" s="15"/>
      <c r="RU14" s="15"/>
      <c r="RV14" s="15"/>
      <c r="RW14" s="15"/>
      <c r="RX14" s="15"/>
      <c r="RY14" s="15"/>
      <c r="RZ14" s="15"/>
      <c r="SA14" s="15"/>
      <c r="SB14" s="15"/>
      <c r="SC14" s="15"/>
      <c r="SD14" s="15"/>
      <c r="SE14" s="15"/>
      <c r="SF14" s="15"/>
      <c r="SG14" s="15"/>
      <c r="SH14" s="15"/>
      <c r="SI14" s="15"/>
      <c r="SJ14" s="15"/>
      <c r="SK14" s="15"/>
      <c r="SL14" s="15"/>
      <c r="SM14" s="15"/>
      <c r="SN14" s="15"/>
      <c r="SO14" s="15"/>
      <c r="SP14" s="15"/>
      <c r="SQ14" s="15"/>
      <c r="SR14" s="15"/>
      <c r="SS14" s="15"/>
      <c r="ST14" s="15"/>
      <c r="SU14" s="15"/>
      <c r="SV14" s="15"/>
      <c r="SW14" s="15"/>
      <c r="SX14" s="15"/>
      <c r="SY14" s="15"/>
      <c r="SZ14" s="15"/>
      <c r="TA14" s="15"/>
      <c r="TB14" s="15"/>
      <c r="TC14" s="15"/>
      <c r="TD14" s="15"/>
      <c r="TE14" s="15"/>
      <c r="TF14" s="15"/>
      <c r="TG14" s="15"/>
      <c r="TH14" s="15"/>
      <c r="TI14" s="15"/>
      <c r="TJ14" s="15"/>
      <c r="TK14" s="15"/>
      <c r="TL14" s="15"/>
      <c r="TM14" s="15"/>
      <c r="TN14" s="15"/>
      <c r="TO14" s="15"/>
      <c r="TP14" s="15"/>
      <c r="TQ14" s="15"/>
      <c r="TR14" s="15"/>
      <c r="TS14" s="15"/>
      <c r="TT14" s="15"/>
      <c r="TU14" s="15"/>
      <c r="TV14" s="15"/>
      <c r="TW14" s="15"/>
      <c r="TX14" s="15"/>
      <c r="TY14" s="15"/>
      <c r="TZ14" s="15"/>
      <c r="UA14" s="15"/>
      <c r="UB14" s="15"/>
      <c r="UC14" s="15"/>
      <c r="UD14" s="15"/>
      <c r="UE14" s="15"/>
      <c r="UF14" s="15"/>
      <c r="UG14" s="15"/>
      <c r="UH14" s="15"/>
      <c r="UI14" s="15"/>
      <c r="UJ14" s="15"/>
      <c r="UK14" s="15"/>
      <c r="UL14" s="15"/>
      <c r="UM14" s="15"/>
      <c r="UN14" s="15"/>
      <c r="UO14" s="15"/>
      <c r="UP14" s="15"/>
      <c r="UQ14" s="15"/>
      <c r="UR14" s="15"/>
      <c r="US14" s="15"/>
      <c r="UT14" s="15"/>
      <c r="UU14" s="15"/>
      <c r="UV14" s="15"/>
      <c r="UW14" s="15"/>
      <c r="UX14" s="15"/>
      <c r="UY14" s="15"/>
      <c r="UZ14" s="15"/>
      <c r="VA14" s="15"/>
      <c r="VB14" s="15"/>
      <c r="VC14" s="15"/>
      <c r="VD14" s="15"/>
      <c r="VE14" s="15"/>
      <c r="VF14" s="15"/>
      <c r="VG14" s="15"/>
      <c r="VH14" s="15"/>
      <c r="VI14" s="15"/>
      <c r="VJ14" s="15"/>
      <c r="VK14" s="15"/>
      <c r="VL14" s="15"/>
      <c r="VM14" s="15"/>
      <c r="VN14" s="15"/>
      <c r="VO14" s="15"/>
      <c r="VP14" s="15"/>
      <c r="VQ14" s="15"/>
      <c r="VR14" s="15"/>
      <c r="VS14" s="15"/>
      <c r="VT14" s="15"/>
      <c r="VU14" s="15"/>
      <c r="VV14" s="15"/>
      <c r="VW14" s="15"/>
      <c r="VX14" s="15"/>
      <c r="VY14" s="15"/>
      <c r="VZ14" s="15"/>
      <c r="WA14" s="15"/>
      <c r="WB14" s="15"/>
      <c r="WC14" s="15"/>
      <c r="WD14" s="15"/>
      <c r="WE14" s="15"/>
      <c r="WF14" s="15"/>
      <c r="WG14" s="15"/>
      <c r="WH14" s="15"/>
      <c r="WI14" s="15"/>
      <c r="WJ14" s="15"/>
      <c r="WK14" s="15"/>
      <c r="WL14" s="15"/>
      <c r="WM14" s="15"/>
      <c r="WN14" s="15"/>
      <c r="WO14" s="15"/>
      <c r="WP14" s="15"/>
      <c r="WQ14" s="15"/>
      <c r="WR14" s="15"/>
      <c r="WS14" s="15"/>
      <c r="WT14" s="15"/>
      <c r="WU14" s="15"/>
      <c r="WV14" s="15"/>
      <c r="WW14" s="15"/>
      <c r="WX14" s="15"/>
      <c r="WY14" s="15"/>
      <c r="WZ14" s="15"/>
      <c r="XA14" s="15"/>
      <c r="XB14" s="15"/>
      <c r="XC14" s="15"/>
      <c r="XD14" s="15"/>
      <c r="XE14" s="15"/>
      <c r="XF14" s="15"/>
      <c r="XG14" s="15"/>
      <c r="XH14" s="15"/>
      <c r="XI14" s="15"/>
      <c r="XJ14" s="15"/>
      <c r="XK14" s="15"/>
      <c r="XL14" s="15"/>
      <c r="XM14" s="15"/>
      <c r="XN14" s="15"/>
      <c r="XO14" s="15"/>
      <c r="XP14" s="15"/>
      <c r="XQ14" s="15"/>
      <c r="XR14" s="15"/>
      <c r="XS14" s="15"/>
      <c r="XT14" s="15"/>
      <c r="XU14" s="15"/>
      <c r="XV14" s="15"/>
      <c r="XW14" s="15"/>
      <c r="XX14" s="15"/>
      <c r="XY14" s="15"/>
      <c r="XZ14" s="15"/>
      <c r="YA14" s="15"/>
      <c r="YB14" s="15"/>
      <c r="YC14" s="15"/>
      <c r="YD14" s="15"/>
      <c r="YE14" s="15"/>
      <c r="YF14" s="15"/>
      <c r="YG14" s="15"/>
      <c r="YH14" s="15"/>
      <c r="YI14" s="15"/>
      <c r="YJ14" s="15"/>
      <c r="YK14" s="15"/>
      <c r="YL14" s="15"/>
      <c r="YM14" s="15"/>
      <c r="YN14" s="15"/>
      <c r="YO14" s="15"/>
      <c r="YP14" s="15"/>
      <c r="YQ14" s="15"/>
      <c r="YR14" s="15"/>
      <c r="YS14" s="15"/>
      <c r="YT14" s="15"/>
      <c r="YU14" s="15"/>
      <c r="YV14" s="15"/>
      <c r="YW14" s="15"/>
      <c r="YX14" s="15"/>
      <c r="YY14" s="15"/>
      <c r="YZ14" s="15"/>
      <c r="ZA14" s="15"/>
      <c r="ZB14" s="15"/>
      <c r="ZC14" s="15"/>
      <c r="ZD14" s="15"/>
      <c r="ZE14" s="15"/>
      <c r="ZF14" s="15"/>
      <c r="ZG14" s="15"/>
      <c r="ZH14" s="15"/>
      <c r="ZI14" s="15"/>
      <c r="ZJ14" s="15"/>
      <c r="ZK14" s="15"/>
      <c r="ZL14" s="15"/>
      <c r="ZM14" s="15"/>
      <c r="ZN14" s="15"/>
      <c r="ZO14" s="15"/>
      <c r="ZP14" s="15"/>
      <c r="ZQ14" s="15"/>
      <c r="ZR14" s="15"/>
      <c r="ZS14" s="15"/>
      <c r="ZT14" s="15"/>
      <c r="ZU14" s="15"/>
      <c r="ZV14" s="15"/>
      <c r="ZW14" s="15"/>
      <c r="ZX14" s="15"/>
      <c r="ZY14" s="15"/>
      <c r="ZZ14" s="15"/>
      <c r="AAA14" s="15"/>
      <c r="AAB14" s="15"/>
      <c r="AAC14" s="15"/>
      <c r="AAD14" s="15"/>
      <c r="AAE14" s="15"/>
      <c r="AAF14" s="15"/>
      <c r="AAG14" s="15"/>
      <c r="AAH14" s="15"/>
      <c r="AAI14" s="15"/>
      <c r="AAJ14" s="15"/>
      <c r="AAK14" s="15"/>
      <c r="AAL14" s="15"/>
      <c r="AAM14" s="15"/>
      <c r="AAN14" s="15"/>
      <c r="AAO14" s="15"/>
      <c r="AAP14" s="15"/>
      <c r="AAQ14" s="15"/>
      <c r="AAR14" s="15"/>
      <c r="AAS14" s="15"/>
      <c r="AAT14" s="15"/>
      <c r="AAU14" s="15"/>
      <c r="AAV14" s="15"/>
      <c r="AAW14" s="15"/>
      <c r="AAX14" s="15"/>
      <c r="AAY14" s="15"/>
      <c r="AAZ14" s="15"/>
      <c r="ABA14" s="15"/>
      <c r="ABB14" s="15"/>
      <c r="ABC14" s="15"/>
      <c r="ABD14" s="15"/>
      <c r="ABE14" s="15"/>
      <c r="ABF14" s="15"/>
      <c r="ABG14" s="15"/>
      <c r="ABH14" s="15"/>
      <c r="ABI14" s="15"/>
      <c r="ABJ14" s="15"/>
      <c r="ABK14" s="15"/>
      <c r="ABL14" s="15"/>
      <c r="ABM14" s="15"/>
      <c r="ABN14" s="15"/>
      <c r="ABO14" s="15"/>
      <c r="ABP14" s="15"/>
      <c r="ABQ14" s="15"/>
      <c r="ABR14" s="15"/>
      <c r="ABS14" s="15"/>
      <c r="ABT14" s="15"/>
      <c r="ABU14" s="15"/>
      <c r="ABV14" s="15"/>
      <c r="ABW14" s="15"/>
      <c r="ABX14" s="15"/>
      <c r="ABY14" s="15"/>
      <c r="ABZ14" s="15"/>
      <c r="ACA14" s="15"/>
      <c r="ACB14" s="15"/>
      <c r="ACC14" s="15"/>
      <c r="ACD14" s="15"/>
      <c r="ACE14" s="15"/>
      <c r="ACF14" s="15"/>
      <c r="ACG14" s="15"/>
      <c r="ACH14" s="15"/>
      <c r="ACI14" s="15"/>
      <c r="ACJ14" s="15"/>
      <c r="ACK14" s="15"/>
      <c r="ACL14" s="15"/>
      <c r="ACM14" s="15"/>
      <c r="ACN14" s="15"/>
      <c r="ACO14" s="15"/>
      <c r="ACP14" s="15"/>
      <c r="ACQ14" s="15"/>
      <c r="ACR14" s="15"/>
      <c r="ACS14" s="15"/>
      <c r="ACT14" s="15"/>
      <c r="ACU14" s="15"/>
      <c r="ACV14" s="15"/>
      <c r="ACW14" s="15"/>
      <c r="ACX14" s="15"/>
      <c r="ACY14" s="15"/>
      <c r="ACZ14" s="15"/>
      <c r="ADA14" s="15"/>
      <c r="ADB14" s="15"/>
      <c r="ADC14" s="15"/>
      <c r="ADD14" s="15"/>
      <c r="ADE14" s="15"/>
      <c r="ADF14" s="15"/>
      <c r="ADG14" s="15"/>
      <c r="ADH14" s="15"/>
      <c r="ADI14" s="15"/>
      <c r="ADJ14" s="15"/>
      <c r="ADK14" s="15"/>
      <c r="ADL14" s="15"/>
      <c r="ADM14" s="15"/>
      <c r="ADN14" s="15"/>
      <c r="ADO14" s="15"/>
      <c r="ADP14" s="15"/>
      <c r="ADQ14" s="15"/>
      <c r="ADR14" s="15"/>
      <c r="ADS14" s="15"/>
      <c r="ADT14" s="15"/>
      <c r="ADU14" s="15"/>
      <c r="ADV14" s="15"/>
      <c r="ADW14" s="15"/>
      <c r="ADX14" s="15"/>
      <c r="ADY14" s="15"/>
      <c r="ADZ14" s="15"/>
      <c r="AEA14" s="15"/>
      <c r="AEB14" s="15"/>
      <c r="AEC14" s="15"/>
      <c r="AED14" s="15"/>
      <c r="AEE14" s="15"/>
      <c r="AEF14" s="15"/>
      <c r="AEG14" s="15"/>
      <c r="AEH14" s="15"/>
      <c r="AEI14" s="15"/>
      <c r="AEJ14" s="15"/>
      <c r="AEK14" s="15"/>
      <c r="AEL14" s="15"/>
      <c r="AEM14" s="15"/>
      <c r="AEN14" s="15"/>
      <c r="AEO14" s="15"/>
      <c r="AEP14" s="15"/>
      <c r="AEQ14" s="15"/>
      <c r="AER14" s="15"/>
      <c r="AES14" s="15"/>
      <c r="AET14" s="15"/>
      <c r="AEU14" s="15"/>
      <c r="AEV14" s="15"/>
      <c r="AEW14" s="15"/>
      <c r="AEX14" s="15"/>
      <c r="AEY14" s="15"/>
      <c r="AEZ14" s="15"/>
      <c r="AFA14" s="15"/>
      <c r="AFB14" s="15"/>
      <c r="AFC14" s="15"/>
      <c r="AFD14" s="15"/>
      <c r="AFE14" s="15"/>
      <c r="AFF14" s="15"/>
      <c r="AFG14" s="15"/>
      <c r="AFH14" s="15"/>
      <c r="AFI14" s="15"/>
      <c r="AFJ14" s="15"/>
      <c r="AFK14" s="15"/>
      <c r="AFL14" s="15"/>
      <c r="AFM14" s="15"/>
      <c r="AFN14" s="15"/>
      <c r="AFO14" s="15"/>
      <c r="AFP14" s="15"/>
      <c r="AFQ14" s="15"/>
      <c r="AFR14" s="15"/>
      <c r="AFS14" s="15"/>
      <c r="AFT14" s="15"/>
      <c r="AFU14" s="15"/>
      <c r="AFV14" s="15"/>
      <c r="AFW14" s="15"/>
      <c r="AFX14" s="15"/>
      <c r="AFY14" s="15"/>
      <c r="AFZ14" s="15"/>
      <c r="AGA14" s="15"/>
      <c r="AGB14" s="15"/>
      <c r="AGC14" s="15"/>
      <c r="AGD14" s="15"/>
      <c r="AGE14" s="15"/>
      <c r="AGF14" s="15"/>
      <c r="AGG14" s="15"/>
      <c r="AGH14" s="15"/>
      <c r="AGI14" s="15"/>
      <c r="AGJ14" s="15"/>
      <c r="AGK14" s="15"/>
      <c r="AGL14" s="15"/>
      <c r="AGM14" s="15"/>
      <c r="AGN14" s="15"/>
      <c r="AGO14" s="15"/>
      <c r="AGP14" s="15"/>
      <c r="AGQ14" s="15"/>
      <c r="AGR14" s="15"/>
      <c r="AGS14" s="15"/>
      <c r="AGT14" s="15"/>
      <c r="AGU14" s="15"/>
      <c r="AGV14" s="15"/>
      <c r="AGW14" s="15"/>
      <c r="AGX14" s="15"/>
      <c r="AGY14" s="15"/>
      <c r="AGZ14" s="15"/>
      <c r="AHA14" s="15"/>
      <c r="AHB14" s="15"/>
      <c r="AHC14" s="15"/>
      <c r="AHD14" s="15"/>
      <c r="AHE14" s="15"/>
      <c r="AHF14" s="15"/>
      <c r="AHG14" s="15"/>
      <c r="AHH14" s="15"/>
      <c r="AHI14" s="15"/>
      <c r="AHJ14" s="15"/>
      <c r="AHK14" s="15"/>
      <c r="AHL14" s="15"/>
      <c r="AHM14" s="15"/>
      <c r="AHN14" s="15"/>
      <c r="AHO14" s="15"/>
      <c r="AHP14" s="15"/>
      <c r="AHQ14" s="15"/>
      <c r="AHR14" s="15"/>
      <c r="AHS14" s="15"/>
      <c r="AHT14" s="15"/>
      <c r="AHU14" s="15"/>
      <c r="AHV14" s="15"/>
      <c r="AHW14" s="15"/>
      <c r="AHX14" s="15"/>
      <c r="AHY14" s="15"/>
      <c r="AHZ14" s="15"/>
      <c r="AIA14" s="15"/>
      <c r="AIB14" s="15"/>
      <c r="AIC14" s="15"/>
      <c r="AID14" s="15"/>
      <c r="AIE14" s="15"/>
      <c r="AIF14" s="15"/>
      <c r="AIG14" s="15"/>
      <c r="AIH14" s="15"/>
      <c r="AII14" s="15"/>
      <c r="AIJ14" s="15"/>
      <c r="AIK14" s="15"/>
      <c r="AIL14" s="15"/>
      <c r="AIM14" s="15"/>
      <c r="AIN14" s="15"/>
      <c r="AIO14" s="15"/>
      <c r="AIP14" s="15"/>
      <c r="AIQ14" s="15"/>
      <c r="AIR14" s="15"/>
      <c r="AIS14" s="15"/>
      <c r="AIT14" s="15"/>
      <c r="AIU14" s="15"/>
      <c r="AIV14" s="15"/>
      <c r="AIW14" s="15"/>
      <c r="AIX14" s="15"/>
      <c r="AIY14" s="15"/>
      <c r="AIZ14" s="15"/>
      <c r="AJA14" s="15"/>
      <c r="AJB14" s="15"/>
      <c r="AJC14" s="15"/>
      <c r="AJD14" s="15"/>
      <c r="AJE14" s="15"/>
      <c r="AJF14" s="15"/>
      <c r="AJG14" s="15"/>
      <c r="AJH14" s="15"/>
      <c r="AJI14" s="15"/>
      <c r="AJJ14" s="15"/>
      <c r="AJK14" s="15"/>
      <c r="AJL14" s="15"/>
      <c r="AJM14" s="15"/>
      <c r="AJN14" s="15"/>
      <c r="AJO14" s="15"/>
      <c r="AJP14" s="15"/>
      <c r="AJQ14" s="15"/>
      <c r="AJR14" s="15"/>
      <c r="AJS14" s="15"/>
      <c r="AJT14" s="15"/>
      <c r="AJU14" s="15"/>
      <c r="AJV14" s="15"/>
      <c r="AJW14" s="15"/>
      <c r="AJX14" s="15"/>
      <c r="AJY14" s="15"/>
      <c r="AJZ14" s="15"/>
      <c r="AKA14" s="15"/>
      <c r="AKB14" s="15"/>
      <c r="AKC14" s="15"/>
      <c r="AKD14" s="15"/>
      <c r="AKE14" s="15"/>
      <c r="AKF14" s="15"/>
      <c r="AKG14" s="15"/>
      <c r="AKH14" s="15"/>
      <c r="AKI14" s="15"/>
      <c r="AKJ14" s="15"/>
      <c r="AKK14" s="15"/>
      <c r="AKL14" s="15"/>
      <c r="AKM14" s="15"/>
      <c r="AKN14" s="15"/>
      <c r="AKO14" s="15"/>
      <c r="AKP14" s="15"/>
      <c r="AKQ14" s="15"/>
      <c r="AKR14" s="15"/>
      <c r="AKS14" s="15"/>
      <c r="AKT14" s="15"/>
      <c r="AKU14" s="15"/>
      <c r="AKV14" s="15"/>
      <c r="AKW14" s="15"/>
      <c r="AKX14" s="15"/>
      <c r="AKY14" s="15"/>
      <c r="AKZ14" s="15"/>
      <c r="ALA14" s="15"/>
      <c r="ALB14" s="15"/>
      <c r="ALC14" s="15"/>
      <c r="ALD14" s="15"/>
      <c r="ALE14" s="15"/>
      <c r="ALF14" s="15"/>
      <c r="ALG14" s="15"/>
      <c r="ALH14" s="15"/>
      <c r="ALI14" s="15"/>
      <c r="ALJ14" s="15"/>
      <c r="ALK14" s="15"/>
      <c r="ALL14" s="15"/>
      <c r="ALM14" s="15"/>
      <c r="ALN14" s="15"/>
      <c r="ALO14" s="15"/>
      <c r="ALP14" s="15"/>
      <c r="ALQ14" s="15"/>
      <c r="ALR14" s="15"/>
      <c r="ALS14" s="15"/>
      <c r="ALT14" s="15"/>
      <c r="ALU14" s="15"/>
      <c r="ALV14" s="15"/>
      <c r="ALW14" s="15"/>
      <c r="ALX14" s="15"/>
      <c r="ALY14" s="15"/>
      <c r="ALZ14" s="15"/>
      <c r="AMA14" s="15"/>
      <c r="AMB14" s="15"/>
      <c r="AMC14" s="15"/>
      <c r="AMD14" s="15"/>
      <c r="AME14" s="15"/>
      <c r="AMF14" s="15"/>
      <c r="AMG14" s="15"/>
      <c r="AMH14" s="15"/>
      <c r="AMI14" s="15"/>
      <c r="AMJ14" s="15"/>
      <c r="AMK14" s="15"/>
      <c r="AML14" s="15"/>
      <c r="AMM14" s="15"/>
      <c r="AMN14" s="15"/>
      <c r="AMO14" s="15"/>
      <c r="AMP14" s="15"/>
      <c r="AMQ14" s="15"/>
      <c r="AMR14" s="15"/>
      <c r="AMS14" s="15"/>
      <c r="AMT14" s="15"/>
      <c r="AMU14" s="15"/>
      <c r="AMV14" s="15"/>
      <c r="AMW14" s="15"/>
      <c r="AMX14" s="15"/>
      <c r="AMY14" s="15"/>
      <c r="AMZ14" s="15"/>
      <c r="ANA14" s="15"/>
      <c r="ANB14" s="15"/>
      <c r="ANC14" s="15"/>
      <c r="AND14" s="15"/>
      <c r="ANE14" s="15"/>
      <c r="ANF14" s="15"/>
      <c r="ANG14" s="15"/>
      <c r="ANH14" s="15"/>
      <c r="ANI14" s="15"/>
      <c r="ANJ14" s="15"/>
      <c r="ANK14" s="15"/>
      <c r="ANL14" s="15"/>
      <c r="ANM14" s="15"/>
      <c r="ANN14" s="15"/>
      <c r="ANO14" s="15"/>
      <c r="ANP14" s="15"/>
      <c r="ANQ14" s="15"/>
      <c r="ANR14" s="15"/>
      <c r="ANS14" s="15"/>
      <c r="ANT14" s="15"/>
      <c r="ANU14" s="15"/>
      <c r="ANV14" s="15"/>
      <c r="ANW14" s="15"/>
      <c r="ANX14" s="15"/>
      <c r="ANY14" s="15"/>
      <c r="ANZ14" s="15"/>
      <c r="AOA14" s="15"/>
      <c r="AOB14" s="15"/>
      <c r="AOC14" s="15"/>
      <c r="AOD14" s="15"/>
      <c r="AOE14" s="15"/>
      <c r="AOF14" s="15"/>
      <c r="AOG14" s="15"/>
      <c r="AOH14" s="15"/>
      <c r="AOI14" s="15"/>
      <c r="AOJ14" s="15"/>
      <c r="AOK14" s="15"/>
      <c r="AOL14" s="15"/>
      <c r="AOM14" s="15"/>
      <c r="AON14" s="15"/>
      <c r="AOO14" s="15"/>
      <c r="AOP14" s="15"/>
      <c r="AOQ14" s="15"/>
      <c r="AOR14" s="15"/>
      <c r="AOS14" s="15"/>
      <c r="AOT14" s="15"/>
      <c r="AOU14" s="15"/>
      <c r="AOV14" s="15"/>
      <c r="AOW14" s="15"/>
      <c r="AOX14" s="15"/>
      <c r="AOY14" s="15"/>
      <c r="AOZ14" s="15"/>
      <c r="APA14" s="15"/>
      <c r="APB14" s="15"/>
      <c r="APC14" s="15"/>
      <c r="APD14" s="15"/>
      <c r="APE14" s="15"/>
      <c r="APF14" s="15"/>
      <c r="APG14" s="15"/>
      <c r="APH14" s="15"/>
      <c r="API14" s="15"/>
      <c r="APJ14" s="15"/>
      <c r="APK14" s="15"/>
      <c r="APL14" s="15"/>
      <c r="APM14" s="15"/>
      <c r="APN14" s="15"/>
      <c r="APO14" s="15"/>
      <c r="APP14" s="15"/>
      <c r="APQ14" s="15"/>
      <c r="APR14" s="15"/>
      <c r="APS14" s="15"/>
      <c r="APT14" s="15"/>
      <c r="APU14" s="15"/>
      <c r="APV14" s="15"/>
      <c r="APW14" s="15"/>
      <c r="APX14" s="15"/>
      <c r="APY14" s="15"/>
      <c r="APZ14" s="15"/>
      <c r="AQA14" s="15"/>
      <c r="AQB14" s="15"/>
      <c r="AQC14" s="15"/>
      <c r="AQD14" s="15"/>
      <c r="AQE14" s="15"/>
      <c r="AQF14" s="15"/>
      <c r="AQG14" s="15"/>
      <c r="AQH14" s="15"/>
      <c r="AQI14" s="15"/>
      <c r="AQJ14" s="15"/>
      <c r="AQK14" s="15"/>
      <c r="AQL14" s="15"/>
      <c r="AQM14" s="15"/>
      <c r="AQN14" s="15"/>
      <c r="AQO14" s="15"/>
      <c r="AQP14" s="15"/>
      <c r="AQQ14" s="15"/>
      <c r="AQR14" s="15"/>
      <c r="AQS14" s="15"/>
      <c r="AQT14" s="15"/>
      <c r="AQU14" s="15"/>
      <c r="AQV14" s="15"/>
      <c r="AQW14" s="15"/>
      <c r="AQX14" s="15"/>
      <c r="AQY14" s="15"/>
      <c r="AQZ14" s="15"/>
      <c r="ARA14" s="15"/>
      <c r="ARB14" s="15"/>
      <c r="ARC14" s="15"/>
      <c r="ARD14" s="15"/>
      <c r="ARE14" s="15"/>
      <c r="ARF14" s="15"/>
      <c r="ARG14" s="15"/>
      <c r="ARH14" s="15"/>
      <c r="ARI14" s="15"/>
      <c r="ARJ14" s="15"/>
      <c r="ARK14" s="15"/>
      <c r="ARL14" s="15"/>
      <c r="ARM14" s="15"/>
      <c r="ARN14" s="15"/>
      <c r="ARO14" s="15"/>
      <c r="ARP14" s="15"/>
      <c r="ARQ14" s="15"/>
      <c r="ARR14" s="15"/>
      <c r="ARS14" s="15"/>
      <c r="ART14" s="15"/>
      <c r="ARU14" s="15"/>
      <c r="ARV14" s="15"/>
      <c r="ARW14" s="15"/>
      <c r="ARX14" s="15"/>
      <c r="ARY14" s="15"/>
      <c r="ARZ14" s="15"/>
      <c r="ASA14" s="15"/>
      <c r="ASB14" s="15"/>
      <c r="ASC14" s="15"/>
      <c r="ASD14" s="15"/>
      <c r="ASE14" s="15"/>
      <c r="ASF14" s="15"/>
      <c r="ASG14" s="15"/>
      <c r="ASH14" s="15"/>
      <c r="ASI14" s="15"/>
      <c r="ASJ14" s="15"/>
      <c r="ASK14" s="15"/>
      <c r="ASL14" s="15"/>
      <c r="ASM14" s="15"/>
      <c r="ASN14" s="15"/>
      <c r="ASO14" s="15"/>
      <c r="ASP14" s="15"/>
      <c r="ASQ14" s="15"/>
      <c r="ASR14" s="15"/>
      <c r="ASS14" s="15"/>
      <c r="AST14" s="15"/>
      <c r="ASU14" s="15"/>
      <c r="ASV14" s="15"/>
      <c r="ASW14" s="15"/>
      <c r="ASX14" s="15"/>
      <c r="ASY14" s="15"/>
      <c r="ASZ14" s="15"/>
      <c r="ATA14" s="15"/>
      <c r="ATB14" s="15"/>
      <c r="ATC14" s="15"/>
      <c r="ATD14" s="15"/>
      <c r="ATE14" s="15"/>
      <c r="ATF14" s="15"/>
      <c r="ATG14" s="15"/>
      <c r="ATH14" s="15"/>
      <c r="ATI14" s="15"/>
      <c r="ATJ14" s="15"/>
      <c r="ATK14" s="15"/>
      <c r="ATL14" s="15"/>
      <c r="ATM14" s="15"/>
      <c r="ATN14" s="15"/>
      <c r="ATO14" s="15"/>
      <c r="ATP14" s="15"/>
      <c r="ATQ14" s="15"/>
      <c r="ATR14" s="15"/>
      <c r="ATS14" s="15"/>
      <c r="ATT14" s="15"/>
      <c r="ATU14" s="15"/>
      <c r="ATV14" s="15"/>
      <c r="ATW14" s="15"/>
      <c r="ATX14" s="15"/>
      <c r="ATY14" s="15"/>
      <c r="ATZ14" s="15"/>
      <c r="AUA14" s="15"/>
      <c r="AUB14" s="15"/>
      <c r="AUC14" s="15"/>
      <c r="AUD14" s="15"/>
      <c r="AUE14" s="15"/>
      <c r="AUF14" s="15"/>
      <c r="AUG14" s="15"/>
      <c r="AUH14" s="15"/>
      <c r="AUI14" s="15"/>
      <c r="AUJ14" s="15"/>
      <c r="AUK14" s="15"/>
      <c r="AUL14" s="15"/>
      <c r="AUM14" s="15"/>
      <c r="AUN14" s="15"/>
      <c r="AUO14" s="15"/>
      <c r="AUP14" s="15"/>
      <c r="AUQ14" s="15"/>
      <c r="AUR14" s="15"/>
      <c r="AUS14" s="15"/>
      <c r="AUT14" s="15"/>
      <c r="AUU14" s="15"/>
      <c r="AUV14" s="15"/>
      <c r="AUW14" s="15"/>
      <c r="AUX14" s="15"/>
      <c r="AUY14" s="15"/>
      <c r="AUZ14" s="15"/>
      <c r="AVA14" s="15"/>
      <c r="AVB14" s="15"/>
      <c r="AVC14" s="15"/>
      <c r="AVD14" s="15"/>
      <c r="AVE14" s="15"/>
      <c r="AVF14" s="15"/>
      <c r="AVG14" s="15"/>
      <c r="AVH14" s="15"/>
      <c r="AVI14" s="15"/>
      <c r="AVJ14" s="15"/>
      <c r="AVK14" s="15"/>
      <c r="AVL14" s="15"/>
      <c r="AVM14" s="15"/>
      <c r="AVN14" s="15"/>
      <c r="AVO14" s="15"/>
      <c r="AVP14" s="15"/>
      <c r="AVQ14" s="15"/>
      <c r="AVR14" s="15"/>
      <c r="AVS14" s="15"/>
      <c r="AVT14" s="15"/>
      <c r="AVU14" s="15"/>
      <c r="AVV14" s="15"/>
      <c r="AVW14" s="15"/>
      <c r="AVX14" s="15"/>
      <c r="AVY14" s="15"/>
      <c r="AVZ14" s="15"/>
      <c r="AWA14" s="15"/>
      <c r="AWB14" s="15"/>
      <c r="AWC14" s="15"/>
      <c r="AWD14" s="15"/>
      <c r="AWE14" s="15"/>
      <c r="AWF14" s="15"/>
      <c r="AWG14" s="15"/>
      <c r="AWH14" s="15"/>
      <c r="AWI14" s="15"/>
      <c r="AWJ14" s="15"/>
      <c r="AWK14" s="15"/>
      <c r="AWL14" s="15"/>
      <c r="AWM14" s="15"/>
      <c r="AWN14" s="15"/>
      <c r="AWO14" s="15"/>
      <c r="AWP14" s="15"/>
      <c r="AWQ14" s="15"/>
      <c r="AWR14" s="15"/>
      <c r="AWS14" s="15"/>
      <c r="AWT14" s="15"/>
      <c r="AWU14" s="15"/>
      <c r="AWV14" s="15"/>
      <c r="AWW14" s="15"/>
      <c r="AWX14" s="15"/>
      <c r="AWY14" s="15"/>
      <c r="AWZ14" s="15"/>
      <c r="AXA14" s="15"/>
      <c r="AXB14" s="15"/>
      <c r="AXC14" s="15"/>
      <c r="AXD14" s="15"/>
      <c r="AXE14" s="15"/>
      <c r="AXF14" s="15"/>
      <c r="AXG14" s="15"/>
      <c r="AXH14" s="15"/>
      <c r="AXI14" s="15"/>
      <c r="AXJ14" s="15"/>
      <c r="AXK14" s="15"/>
      <c r="AXL14" s="15"/>
      <c r="AXM14" s="15"/>
      <c r="AXN14" s="15"/>
      <c r="AXO14" s="15"/>
      <c r="AXP14" s="15"/>
      <c r="AXQ14" s="15"/>
      <c r="AXR14" s="15"/>
      <c r="AXS14" s="15"/>
      <c r="AXT14" s="15"/>
      <c r="AXU14" s="15"/>
      <c r="AXV14" s="15"/>
      <c r="AXW14" s="15"/>
      <c r="AXX14" s="15"/>
      <c r="AXY14" s="15"/>
      <c r="AXZ14" s="15"/>
      <c r="AYA14" s="15"/>
      <c r="AYB14" s="15"/>
      <c r="AYC14" s="15"/>
      <c r="AYD14" s="15"/>
      <c r="AYE14" s="15"/>
      <c r="AYF14" s="15"/>
      <c r="AYG14" s="15"/>
      <c r="AYH14" s="15"/>
      <c r="AYI14" s="15"/>
      <c r="AYJ14" s="15"/>
      <c r="AYK14" s="15"/>
      <c r="AYL14" s="15"/>
      <c r="AYM14" s="15"/>
      <c r="AYN14" s="15"/>
      <c r="AYO14" s="15"/>
      <c r="AYP14" s="15"/>
      <c r="AYQ14" s="15"/>
      <c r="AYR14" s="15"/>
      <c r="AYS14" s="15"/>
      <c r="AYT14" s="15"/>
      <c r="AYU14" s="15"/>
      <c r="AYV14" s="15"/>
      <c r="AYW14" s="15"/>
      <c r="AYX14" s="15"/>
      <c r="AYY14" s="15"/>
      <c r="AYZ14" s="15"/>
      <c r="AZA14" s="15"/>
      <c r="AZB14" s="15"/>
      <c r="AZC14" s="15"/>
      <c r="AZD14" s="15"/>
      <c r="AZE14" s="15"/>
      <c r="AZF14" s="15"/>
      <c r="AZG14" s="15"/>
      <c r="AZH14" s="15"/>
      <c r="AZI14" s="15"/>
      <c r="AZJ14" s="15"/>
      <c r="AZK14" s="15"/>
      <c r="AZL14" s="15"/>
      <c r="AZM14" s="15"/>
      <c r="AZN14" s="15"/>
      <c r="AZO14" s="15"/>
      <c r="AZP14" s="15"/>
      <c r="AZQ14" s="15"/>
      <c r="AZR14" s="15"/>
      <c r="AZS14" s="15"/>
      <c r="AZT14" s="15"/>
      <c r="AZU14" s="15"/>
      <c r="AZV14" s="15"/>
      <c r="AZW14" s="15"/>
      <c r="AZX14" s="15"/>
      <c r="AZY14" s="15"/>
      <c r="AZZ14" s="15"/>
      <c r="BAA14" s="15"/>
      <c r="BAB14" s="15"/>
      <c r="BAC14" s="15"/>
      <c r="BAD14" s="15"/>
      <c r="BAE14" s="15"/>
      <c r="BAF14" s="15"/>
      <c r="BAG14" s="15"/>
      <c r="BAH14" s="15"/>
      <c r="BAI14" s="15"/>
      <c r="BAJ14" s="15"/>
      <c r="BAK14" s="15"/>
      <c r="BAL14" s="15"/>
      <c r="BAM14" s="15"/>
      <c r="BAN14" s="15"/>
      <c r="BAO14" s="15"/>
      <c r="BAP14" s="15"/>
      <c r="BAQ14" s="15"/>
      <c r="BAR14" s="15"/>
      <c r="BAS14" s="15"/>
      <c r="BAT14" s="15"/>
      <c r="BAU14" s="15"/>
      <c r="BAV14" s="15"/>
      <c r="BAW14" s="15"/>
      <c r="BAX14" s="15"/>
      <c r="BAY14" s="15"/>
      <c r="BAZ14" s="15"/>
      <c r="BBA14" s="15"/>
      <c r="BBB14" s="15"/>
      <c r="BBC14" s="15"/>
      <c r="BBD14" s="15"/>
      <c r="BBE14" s="15"/>
      <c r="BBF14" s="15"/>
      <c r="BBG14" s="15"/>
      <c r="BBH14" s="15"/>
      <c r="BBI14" s="15"/>
      <c r="BBJ14" s="15"/>
      <c r="BBK14" s="15"/>
      <c r="BBL14" s="15"/>
      <c r="BBM14" s="15"/>
      <c r="BBN14" s="15"/>
      <c r="BBO14" s="15"/>
      <c r="BBP14" s="15"/>
      <c r="BBQ14" s="15"/>
      <c r="BBR14" s="15"/>
      <c r="BBS14" s="15"/>
      <c r="BBT14" s="15"/>
      <c r="BBU14" s="15"/>
      <c r="BBV14" s="15"/>
      <c r="BBW14" s="15"/>
      <c r="BBX14" s="15"/>
      <c r="BBY14" s="15"/>
      <c r="BBZ14" s="15"/>
      <c r="BCA14" s="15"/>
      <c r="BCB14" s="15"/>
      <c r="BCC14" s="15"/>
      <c r="BCD14" s="15"/>
      <c r="BCE14" s="15"/>
      <c r="BCF14" s="15"/>
      <c r="BCG14" s="15"/>
      <c r="BCH14" s="15"/>
      <c r="BCI14" s="15"/>
      <c r="BCJ14" s="15"/>
      <c r="BCK14" s="15"/>
      <c r="BCL14" s="15"/>
      <c r="BCM14" s="15"/>
      <c r="BCN14" s="15"/>
      <c r="BCO14" s="15"/>
      <c r="BCP14" s="15"/>
      <c r="BCQ14" s="15"/>
      <c r="BCR14" s="15"/>
      <c r="BCS14" s="15"/>
      <c r="BCT14" s="15"/>
      <c r="BCU14" s="15"/>
      <c r="BCV14" s="15"/>
      <c r="BCW14" s="15"/>
      <c r="BCX14" s="15"/>
      <c r="BCY14" s="15"/>
      <c r="BCZ14" s="15"/>
      <c r="BDA14" s="15"/>
      <c r="BDB14" s="15"/>
      <c r="BDC14" s="15"/>
      <c r="BDD14" s="15"/>
      <c r="BDE14" s="15"/>
      <c r="BDF14" s="15"/>
      <c r="BDG14" s="15"/>
      <c r="BDH14" s="15"/>
      <c r="BDI14" s="15"/>
      <c r="BDJ14" s="15"/>
      <c r="BDK14" s="15"/>
      <c r="BDL14" s="15"/>
      <c r="BDM14" s="15"/>
      <c r="BDN14" s="15"/>
      <c r="BDO14" s="15"/>
      <c r="BDP14" s="15"/>
      <c r="BDQ14" s="15"/>
      <c r="BDR14" s="15"/>
      <c r="BDS14" s="15"/>
      <c r="BDT14" s="15"/>
      <c r="BDU14" s="15"/>
      <c r="BDV14" s="15"/>
      <c r="BDW14" s="15"/>
      <c r="BDX14" s="15"/>
      <c r="BDY14" s="15"/>
      <c r="BDZ14" s="15"/>
      <c r="BEA14" s="15"/>
      <c r="BEB14" s="15"/>
      <c r="BEC14" s="15"/>
      <c r="BED14" s="15"/>
      <c r="BEE14" s="15"/>
      <c r="BEF14" s="15"/>
      <c r="BEG14" s="15"/>
      <c r="BEH14" s="15"/>
      <c r="BEI14" s="15"/>
      <c r="BEJ14" s="15"/>
      <c r="BEK14" s="15"/>
      <c r="BEL14" s="15"/>
      <c r="BEM14" s="15"/>
      <c r="BEN14" s="15"/>
      <c r="BEO14" s="15"/>
      <c r="BEP14" s="15"/>
      <c r="BEQ14" s="15"/>
      <c r="BER14" s="15"/>
      <c r="BES14" s="15"/>
      <c r="BET14" s="15"/>
      <c r="BEU14" s="15"/>
      <c r="BEV14" s="15"/>
      <c r="BEW14" s="15"/>
      <c r="BEX14" s="15"/>
      <c r="BEY14" s="15"/>
      <c r="BEZ14" s="15"/>
      <c r="BFA14" s="15"/>
      <c r="BFB14" s="15"/>
      <c r="BFC14" s="15"/>
      <c r="BFD14" s="15"/>
      <c r="BFE14" s="15"/>
      <c r="BFF14" s="15"/>
      <c r="BFG14" s="15"/>
      <c r="BFH14" s="15"/>
      <c r="BFI14" s="15"/>
      <c r="BFJ14" s="15"/>
      <c r="BFK14" s="15"/>
      <c r="BFL14" s="15"/>
      <c r="BFM14" s="15"/>
      <c r="BFN14" s="15"/>
      <c r="BFO14" s="15"/>
      <c r="BFP14" s="15"/>
      <c r="BFQ14" s="15"/>
      <c r="BFR14" s="15"/>
      <c r="BFS14" s="15"/>
      <c r="BFT14" s="15"/>
      <c r="BFU14" s="15"/>
      <c r="BFV14" s="15"/>
      <c r="BFW14" s="15"/>
      <c r="BFX14" s="15"/>
      <c r="BFY14" s="15"/>
      <c r="BFZ14" s="15"/>
      <c r="BGA14" s="15"/>
      <c r="BGB14" s="15"/>
      <c r="BGC14" s="15"/>
      <c r="BGD14" s="15"/>
      <c r="BGE14" s="15"/>
      <c r="BGF14" s="15"/>
      <c r="BGG14" s="15"/>
      <c r="BGH14" s="15"/>
      <c r="BGI14" s="15"/>
      <c r="BGJ14" s="15"/>
      <c r="BGK14" s="15"/>
      <c r="BGL14" s="15"/>
      <c r="BGM14" s="15"/>
      <c r="BGN14" s="15"/>
      <c r="BGO14" s="15"/>
      <c r="BGP14" s="15"/>
      <c r="BGQ14" s="15"/>
      <c r="BGR14" s="15"/>
      <c r="BGS14" s="15"/>
      <c r="BGT14" s="15"/>
      <c r="BGU14" s="15"/>
      <c r="BGV14" s="15"/>
      <c r="BGW14" s="15"/>
      <c r="BGX14" s="15"/>
      <c r="BGY14" s="15"/>
      <c r="BGZ14" s="15"/>
      <c r="BHA14" s="15"/>
      <c r="BHB14" s="15"/>
      <c r="BHC14" s="15"/>
      <c r="BHD14" s="15"/>
      <c r="BHE14" s="15"/>
      <c r="BHF14" s="15"/>
      <c r="BHG14" s="15"/>
      <c r="BHH14" s="15"/>
      <c r="BHI14" s="15"/>
      <c r="BHJ14" s="15"/>
      <c r="BHK14" s="15"/>
      <c r="BHL14" s="15"/>
      <c r="BHM14" s="15"/>
      <c r="BHN14" s="15"/>
      <c r="BHO14" s="15"/>
      <c r="BHP14" s="15"/>
      <c r="BHQ14" s="15"/>
      <c r="BHR14" s="15"/>
      <c r="BHS14" s="15"/>
      <c r="BHT14" s="15"/>
      <c r="BHU14" s="15"/>
      <c r="BHV14" s="15"/>
      <c r="BHW14" s="15"/>
      <c r="BHX14" s="15"/>
      <c r="BHY14" s="15"/>
      <c r="BHZ14" s="15"/>
      <c r="BIA14" s="15"/>
      <c r="BIB14" s="15"/>
      <c r="BIC14" s="15"/>
      <c r="BID14" s="15"/>
      <c r="BIE14" s="15"/>
      <c r="BIF14" s="15"/>
      <c r="BIG14" s="15"/>
      <c r="BIH14" s="15"/>
      <c r="BII14" s="15"/>
      <c r="BIJ14" s="15"/>
      <c r="BIK14" s="15"/>
      <c r="BIL14" s="15"/>
      <c r="BIM14" s="15"/>
      <c r="BIN14" s="15"/>
      <c r="BIO14" s="15"/>
      <c r="BIP14" s="15"/>
      <c r="BIQ14" s="15"/>
      <c r="BIR14" s="15"/>
      <c r="BIS14" s="15"/>
      <c r="BIT14" s="15"/>
      <c r="BIU14" s="15"/>
      <c r="BIV14" s="15"/>
      <c r="BIW14" s="15"/>
      <c r="BIX14" s="15"/>
      <c r="BIY14" s="15"/>
      <c r="BIZ14" s="15"/>
      <c r="BJA14" s="15"/>
      <c r="BJB14" s="15"/>
      <c r="BJC14" s="15"/>
      <c r="BJD14" s="15"/>
      <c r="BJE14" s="15"/>
      <c r="BJF14" s="15"/>
      <c r="BJG14" s="15"/>
      <c r="BJH14" s="15"/>
      <c r="BJI14" s="15"/>
      <c r="BJJ14" s="15"/>
      <c r="BJK14" s="15"/>
      <c r="BJL14" s="15"/>
      <c r="BJM14" s="15"/>
      <c r="BJN14" s="15"/>
      <c r="BJO14" s="15"/>
      <c r="BJP14" s="15"/>
      <c r="BJQ14" s="15"/>
      <c r="BJR14" s="15"/>
      <c r="BJS14" s="15"/>
      <c r="BJT14" s="15"/>
      <c r="BJU14" s="15"/>
      <c r="BJV14" s="15"/>
      <c r="BJW14" s="15"/>
      <c r="BJX14" s="15"/>
      <c r="BJY14" s="15"/>
      <c r="BJZ14" s="15"/>
      <c r="BKA14" s="15"/>
      <c r="BKB14" s="15"/>
      <c r="BKC14" s="15"/>
      <c r="BKD14" s="15"/>
      <c r="BKE14" s="15"/>
      <c r="BKF14" s="15"/>
      <c r="BKG14" s="15"/>
      <c r="BKH14" s="15"/>
      <c r="BKI14" s="15"/>
      <c r="BKJ14" s="15"/>
      <c r="BKK14" s="15"/>
      <c r="BKL14" s="15"/>
      <c r="BKM14" s="15"/>
      <c r="BKN14" s="15"/>
      <c r="BKO14" s="15"/>
      <c r="BKP14" s="15"/>
      <c r="BKQ14" s="15"/>
      <c r="BKR14" s="15"/>
      <c r="BKS14" s="15"/>
      <c r="BKT14" s="15"/>
      <c r="BKU14" s="15"/>
      <c r="BKV14" s="15"/>
      <c r="BKW14" s="15"/>
      <c r="BKX14" s="15"/>
      <c r="BKY14" s="15"/>
      <c r="BKZ14" s="15"/>
      <c r="BLA14" s="15"/>
      <c r="BLB14" s="15"/>
      <c r="BLC14" s="15"/>
      <c r="BLD14" s="15"/>
      <c r="BLE14" s="15"/>
      <c r="BLF14" s="15"/>
      <c r="BLG14" s="15"/>
      <c r="BLH14" s="15"/>
      <c r="BLI14" s="15"/>
      <c r="BLJ14" s="15"/>
      <c r="BLK14" s="15"/>
      <c r="BLL14" s="15"/>
      <c r="BLM14" s="15"/>
      <c r="BLN14" s="15"/>
      <c r="BLO14" s="15"/>
      <c r="BLP14" s="15"/>
      <c r="BLQ14" s="15"/>
      <c r="BLR14" s="15"/>
      <c r="BLS14" s="15"/>
      <c r="BLT14" s="15"/>
      <c r="BLU14" s="15"/>
      <c r="BLV14" s="15"/>
      <c r="BLW14" s="15"/>
      <c r="BLX14" s="15"/>
      <c r="BLY14" s="15"/>
      <c r="BLZ14" s="15"/>
      <c r="BMA14" s="15"/>
      <c r="BMB14" s="15"/>
      <c r="BMC14" s="15"/>
      <c r="BMD14" s="15"/>
      <c r="BME14" s="15"/>
      <c r="BMF14" s="15"/>
      <c r="BMG14" s="15"/>
      <c r="BMH14" s="15"/>
      <c r="BMI14" s="15"/>
      <c r="BMJ14" s="15"/>
      <c r="BMK14" s="15"/>
      <c r="BML14" s="15"/>
      <c r="BMM14" s="15"/>
      <c r="BMN14" s="15"/>
      <c r="BMO14" s="15"/>
      <c r="BMP14" s="15"/>
      <c r="BMQ14" s="15"/>
      <c r="BMR14" s="15"/>
      <c r="BMS14" s="15"/>
      <c r="BMT14" s="15"/>
      <c r="BMU14" s="15"/>
      <c r="BMV14" s="15"/>
      <c r="BMW14" s="15"/>
      <c r="BMX14" s="15"/>
      <c r="BMY14" s="15"/>
      <c r="BMZ14" s="15"/>
      <c r="BNA14" s="15"/>
      <c r="BNB14" s="15"/>
      <c r="BNC14" s="15"/>
      <c r="BND14" s="15"/>
      <c r="BNE14" s="15"/>
      <c r="BNF14" s="15"/>
      <c r="BNG14" s="15"/>
      <c r="BNH14" s="15"/>
      <c r="BNI14" s="15"/>
      <c r="BNJ14" s="15"/>
      <c r="BNK14" s="15"/>
      <c r="BNL14" s="15"/>
      <c r="BNM14" s="15"/>
      <c r="BNN14" s="15"/>
      <c r="BNO14" s="15"/>
      <c r="BNP14" s="15"/>
      <c r="BNQ14" s="15"/>
      <c r="BNR14" s="15"/>
      <c r="BNS14" s="15"/>
      <c r="BNT14" s="15"/>
      <c r="BNU14" s="15"/>
      <c r="BNV14" s="15"/>
      <c r="BNW14" s="15"/>
      <c r="BNX14" s="15"/>
      <c r="BNY14" s="15"/>
      <c r="BNZ14" s="15"/>
      <c r="BOA14" s="15"/>
      <c r="BOB14" s="15"/>
      <c r="BOC14" s="15"/>
      <c r="BOD14" s="15"/>
      <c r="BOE14" s="15"/>
      <c r="BOF14" s="15"/>
      <c r="BOG14" s="15"/>
      <c r="BOH14" s="15"/>
      <c r="BOI14" s="15"/>
      <c r="BOJ14" s="15"/>
      <c r="BOK14" s="15"/>
      <c r="BOL14" s="15"/>
      <c r="BOM14" s="15"/>
      <c r="BON14" s="15"/>
      <c r="BOO14" s="15"/>
      <c r="BOP14" s="15"/>
      <c r="BOQ14" s="15"/>
      <c r="BOR14" s="15"/>
      <c r="BOS14" s="15"/>
      <c r="BOT14" s="15"/>
      <c r="BOU14" s="15"/>
      <c r="BOV14" s="15"/>
      <c r="BOW14" s="15"/>
      <c r="BOX14" s="15"/>
      <c r="BOY14" s="15"/>
      <c r="BOZ14" s="15"/>
      <c r="BPA14" s="15"/>
      <c r="BPB14" s="15"/>
      <c r="BPC14" s="15"/>
      <c r="BPD14" s="15"/>
      <c r="BPE14" s="15"/>
      <c r="BPF14" s="15"/>
      <c r="BPG14" s="15"/>
      <c r="BPH14" s="15"/>
      <c r="BPI14" s="15"/>
      <c r="BPJ14" s="15"/>
      <c r="BPK14" s="15"/>
      <c r="BPL14" s="15"/>
      <c r="BPM14" s="15"/>
      <c r="BPN14" s="15"/>
      <c r="BPO14" s="15"/>
      <c r="BPP14" s="15"/>
      <c r="BPQ14" s="15"/>
      <c r="BPR14" s="15"/>
      <c r="BPS14" s="15"/>
      <c r="BPT14" s="15"/>
      <c r="BPU14" s="15"/>
      <c r="BPV14" s="15"/>
      <c r="BPW14" s="15"/>
      <c r="BPX14" s="15"/>
      <c r="BPY14" s="15"/>
      <c r="BPZ14" s="15"/>
      <c r="BQA14" s="15"/>
      <c r="BQB14" s="15"/>
      <c r="BQC14" s="15"/>
      <c r="BQD14" s="15"/>
      <c r="BQE14" s="15"/>
      <c r="BQF14" s="15"/>
      <c r="BQG14" s="15"/>
      <c r="BQH14" s="15"/>
      <c r="BQI14" s="15"/>
      <c r="BQJ14" s="15"/>
      <c r="BQK14" s="15"/>
      <c r="BQL14" s="15"/>
      <c r="BQM14" s="15"/>
      <c r="BQN14" s="15"/>
      <c r="BQO14" s="15"/>
      <c r="BQP14" s="15"/>
      <c r="BQQ14" s="15"/>
      <c r="BQR14" s="15"/>
      <c r="BQS14" s="15"/>
      <c r="BQT14" s="15"/>
      <c r="BQU14" s="15"/>
      <c r="BQV14" s="15"/>
      <c r="BQW14" s="15"/>
      <c r="BQX14" s="15"/>
      <c r="BQY14" s="15"/>
      <c r="BQZ14" s="15"/>
      <c r="BRA14" s="15"/>
      <c r="BRB14" s="15"/>
      <c r="BRC14" s="15"/>
      <c r="BRD14" s="15"/>
      <c r="BRE14" s="15"/>
      <c r="BRF14" s="15"/>
      <c r="BRG14" s="15"/>
      <c r="BRH14" s="15"/>
      <c r="BRI14" s="15"/>
      <c r="BRJ14" s="15"/>
      <c r="BRK14" s="15"/>
      <c r="BRL14" s="15"/>
      <c r="BRM14" s="15"/>
      <c r="BRN14" s="15"/>
      <c r="BRO14" s="15"/>
      <c r="BRP14" s="15"/>
      <c r="BRQ14" s="15"/>
      <c r="BRR14" s="15"/>
      <c r="BRS14" s="15"/>
      <c r="BRT14" s="15"/>
      <c r="BRU14" s="15"/>
      <c r="BRV14" s="15"/>
      <c r="BRW14" s="15"/>
      <c r="BRX14" s="15"/>
      <c r="BRY14" s="15"/>
      <c r="BRZ14" s="15"/>
      <c r="BSA14" s="15"/>
    </row>
    <row r="15" spans="1:1847" x14ac:dyDescent="0.25">
      <c r="A15" s="243" t="s">
        <v>34</v>
      </c>
      <c r="B15" s="244">
        <v>30</v>
      </c>
      <c r="C15" s="245">
        <v>1</v>
      </c>
      <c r="D15" s="244" t="s">
        <v>35</v>
      </c>
      <c r="E15" s="244">
        <v>-4</v>
      </c>
      <c r="F15" s="244">
        <v>4</v>
      </c>
      <c r="G15" s="246">
        <v>109.2</v>
      </c>
      <c r="H15" s="163">
        <f>VLOOKUP(F15,$AM$3:$AN$11,2,FALSE)</f>
        <v>110</v>
      </c>
      <c r="I15" s="246">
        <f t="shared" ref="I15:I42" si="4">IF(G15&gt;H15,(G15-H15)*$AL$12+H15,G15)</f>
        <v>109.2</v>
      </c>
      <c r="J15" s="244">
        <f>119.52+5.42</f>
        <v>124.94</v>
      </c>
      <c r="K15" s="255">
        <f>AB15</f>
        <v>9.3800000000000008</v>
      </c>
      <c r="L15" s="244">
        <v>1</v>
      </c>
      <c r="M15" s="256">
        <f>$K$6*(I15*$AK$12+IF(J15&gt;30,30*$AK$13+IF(J15&gt;60,30*$AK$14+IF(J15&gt;120,60*$AK$15,(J15-60)*$AK$15),(J15-30)*$AK$14),J15*$AK$13)+$AK$17*K15+L15*$AK$18)</f>
        <v>2445349.2654799996</v>
      </c>
      <c r="N15" s="244" t="s">
        <v>39</v>
      </c>
      <c r="O15" s="256">
        <f>M15</f>
        <v>2445349.2654799996</v>
      </c>
      <c r="P15" s="256">
        <f t="shared" ref="P15:P42" si="5">O15*(1-$AK$19)</f>
        <v>1834011.9491099997</v>
      </c>
      <c r="Q15" s="256">
        <f t="shared" ref="Q15:Q42" si="6">$AK$22*(I15*$AK$12+IF(J15&gt;30,30*$AK$13+IF(J15&gt;60,30*$AK$14+IF(J15&gt;120,60*$AK$15,(J15-60)*$AK$15),(J15-30)*$AK$14),J15*$AK$13)+$AK$17*K15+L15*$AK$18)</f>
        <v>3135827.0631599994</v>
      </c>
      <c r="R15" s="256">
        <f t="shared" ref="R15:R42" si="7">Q15-$AK$20</f>
        <v>2635827.0631599994</v>
      </c>
      <c r="S15" s="256">
        <f>IF(R15&lt;P15,P15,MIN(R15,O15))</f>
        <v>2445349.2654799996</v>
      </c>
      <c r="T15" s="244"/>
      <c r="U15" s="257">
        <v>1</v>
      </c>
      <c r="V15" s="113" t="s">
        <v>291</v>
      </c>
      <c r="W15" t="s">
        <v>291</v>
      </c>
      <c r="X15" t="s">
        <v>291</v>
      </c>
      <c r="Z15" s="18" t="str">
        <f>C15&amp;A15</f>
        <v>1A1</v>
      </c>
      <c r="AA15" s="115">
        <v>1</v>
      </c>
      <c r="AB15" s="116">
        <v>9.3800000000000008</v>
      </c>
      <c r="AC15" s="19"/>
      <c r="AD15" s="153"/>
      <c r="AE15" s="153"/>
      <c r="AF15" s="153"/>
      <c r="AG15" s="207"/>
      <c r="AJ15" s="179" t="s">
        <v>275</v>
      </c>
      <c r="AK15" s="148">
        <v>0.1</v>
      </c>
      <c r="AO15" s="130"/>
      <c r="AP15" s="130"/>
    </row>
    <row r="16" spans="1:1847" x14ac:dyDescent="0.25">
      <c r="A16" s="247" t="s">
        <v>34</v>
      </c>
      <c r="B16" s="221">
        <v>30</v>
      </c>
      <c r="C16" s="248">
        <v>2</v>
      </c>
      <c r="D16" s="221" t="s">
        <v>37</v>
      </c>
      <c r="E16" s="221">
        <v>-4</v>
      </c>
      <c r="F16" s="221">
        <v>4</v>
      </c>
      <c r="G16" s="249">
        <v>109.31</v>
      </c>
      <c r="H16" s="159">
        <f t="shared" ref="H16:H79" si="8">VLOOKUP(F16,$AM$3:$AN$11,2,FALSE)</f>
        <v>110</v>
      </c>
      <c r="I16" s="249">
        <f t="shared" si="4"/>
        <v>109.31</v>
      </c>
      <c r="J16" s="221">
        <v>151.19</v>
      </c>
      <c r="K16" s="248">
        <f>AB16</f>
        <v>6.01</v>
      </c>
      <c r="L16" s="221">
        <v>1</v>
      </c>
      <c r="M16" s="258">
        <f>$K$6*(I16*$AK$12+IF(J16&gt;30,30*$AK$13+IF(J16&gt;60,30*$AK$14+IF(J16&gt;120,60*$AK$15,(J16-60)*$AK$15),(J16-30)*$AK$14),J16*$AK$13)+$AK$17*K16+L16*$AK$18)</f>
        <v>2429030.51566</v>
      </c>
      <c r="N16" s="221" t="s">
        <v>39</v>
      </c>
      <c r="O16" s="258">
        <f>M16</f>
        <v>2429030.51566</v>
      </c>
      <c r="P16" s="258">
        <f t="shared" si="5"/>
        <v>1821772.886745</v>
      </c>
      <c r="Q16" s="258">
        <f t="shared" si="6"/>
        <v>3114900.4912199997</v>
      </c>
      <c r="R16" s="258">
        <f t="shared" si="7"/>
        <v>2614900.4912199997</v>
      </c>
      <c r="S16" s="258">
        <f t="shared" ref="S16:S79" si="9">IF(R16&lt;P16,P16,MIN(R16,O16))</f>
        <v>2429030.51566</v>
      </c>
      <c r="T16" s="221"/>
      <c r="U16" s="259">
        <v>2</v>
      </c>
      <c r="V16" s="113" t="s">
        <v>291</v>
      </c>
      <c r="W16" s="21" t="s">
        <v>291</v>
      </c>
      <c r="X16" t="s">
        <v>291</v>
      </c>
      <c r="Z16" s="22" t="str">
        <f>C16&amp;A16</f>
        <v>2A1</v>
      </c>
      <c r="AA16" s="23">
        <v>2</v>
      </c>
      <c r="AB16" s="24">
        <v>6.01</v>
      </c>
      <c r="AC16" s="25"/>
      <c r="AD16" s="21"/>
      <c r="AE16" s="153"/>
      <c r="AF16" s="153"/>
      <c r="AG16" s="152"/>
      <c r="AI16" s="21"/>
      <c r="AJ16" s="179" t="s">
        <v>276</v>
      </c>
      <c r="AK16" s="148">
        <v>0</v>
      </c>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c r="IW16" s="21"/>
      <c r="IX16" s="21"/>
      <c r="IY16" s="21"/>
      <c r="IZ16" s="21"/>
      <c r="JA16" s="21"/>
      <c r="JB16" s="21"/>
      <c r="JC16" s="21"/>
      <c r="JD16" s="21"/>
      <c r="JE16" s="21"/>
      <c r="JF16" s="21"/>
      <c r="JG16" s="21"/>
      <c r="JH16" s="21"/>
      <c r="JI16" s="21"/>
      <c r="JJ16" s="21"/>
      <c r="JK16" s="21"/>
      <c r="JL16" s="21"/>
      <c r="JM16" s="21"/>
      <c r="JN16" s="21"/>
      <c r="JO16" s="21"/>
      <c r="JP16" s="21"/>
      <c r="JQ16" s="21"/>
      <c r="JR16" s="21"/>
      <c r="JS16" s="21"/>
      <c r="JT16" s="21"/>
      <c r="JU16" s="21"/>
      <c r="JV16" s="21"/>
      <c r="JW16" s="21"/>
      <c r="JX16" s="21"/>
      <c r="JY16" s="21"/>
      <c r="JZ16" s="21"/>
      <c r="KA16" s="21"/>
      <c r="KB16" s="21"/>
      <c r="KC16" s="21"/>
      <c r="KD16" s="21"/>
      <c r="KE16" s="21"/>
      <c r="KF16" s="21"/>
      <c r="KG16" s="21"/>
      <c r="KH16" s="21"/>
      <c r="KI16" s="21"/>
      <c r="KJ16" s="21"/>
      <c r="KK16" s="21"/>
      <c r="KL16" s="21"/>
      <c r="KM16" s="21"/>
      <c r="KN16" s="21"/>
      <c r="KO16" s="21"/>
      <c r="KP16" s="21"/>
      <c r="KQ16" s="21"/>
      <c r="KR16" s="21"/>
      <c r="KS16" s="21"/>
      <c r="KT16" s="21"/>
      <c r="KU16" s="21"/>
      <c r="KV16" s="21"/>
      <c r="KW16" s="21"/>
      <c r="KX16" s="21"/>
      <c r="KY16" s="21"/>
      <c r="KZ16" s="21"/>
      <c r="LA16" s="21"/>
      <c r="LB16" s="21"/>
      <c r="LC16" s="21"/>
      <c r="LD16" s="21"/>
      <c r="LE16" s="21"/>
      <c r="LF16" s="21"/>
      <c r="LG16" s="21"/>
      <c r="LH16" s="21"/>
      <c r="LI16" s="21"/>
      <c r="LJ16" s="21"/>
      <c r="LK16" s="21"/>
      <c r="LL16" s="21"/>
      <c r="LM16" s="21"/>
      <c r="LN16" s="21"/>
      <c r="LO16" s="21"/>
      <c r="LP16" s="21"/>
      <c r="LQ16" s="21"/>
      <c r="LR16" s="21"/>
      <c r="LS16" s="21"/>
      <c r="LT16" s="21"/>
      <c r="LU16" s="21"/>
      <c r="LV16" s="21"/>
      <c r="LW16" s="21"/>
      <c r="LX16" s="21"/>
      <c r="LY16" s="21"/>
      <c r="LZ16" s="21"/>
      <c r="MA16" s="21"/>
      <c r="MB16" s="21"/>
      <c r="MC16" s="21"/>
      <c r="MD16" s="21"/>
      <c r="ME16" s="21"/>
      <c r="MF16" s="21"/>
      <c r="MG16" s="21"/>
      <c r="MH16" s="21"/>
      <c r="MI16" s="21"/>
      <c r="MJ16" s="21"/>
      <c r="MK16" s="21"/>
      <c r="ML16" s="21"/>
      <c r="MM16" s="21"/>
      <c r="MN16" s="21"/>
      <c r="MO16" s="21"/>
      <c r="MP16" s="21"/>
      <c r="MQ16" s="21"/>
      <c r="MR16" s="21"/>
      <c r="MS16" s="21"/>
      <c r="MT16" s="21"/>
      <c r="MU16" s="21"/>
      <c r="MV16" s="21"/>
      <c r="MW16" s="21"/>
      <c r="MX16" s="21"/>
      <c r="MY16" s="21"/>
      <c r="MZ16" s="21"/>
      <c r="NA16" s="21"/>
      <c r="NB16" s="21"/>
      <c r="NC16" s="21"/>
      <c r="ND16" s="21"/>
      <c r="NE16" s="21"/>
      <c r="NF16" s="21"/>
      <c r="NG16" s="21"/>
      <c r="NH16" s="21"/>
      <c r="NI16" s="21"/>
      <c r="NJ16" s="21"/>
      <c r="NK16" s="21"/>
      <c r="NL16" s="21"/>
      <c r="NM16" s="21"/>
      <c r="NN16" s="21"/>
      <c r="NO16" s="21"/>
      <c r="NP16" s="21"/>
      <c r="NQ16" s="21"/>
      <c r="NR16" s="21"/>
      <c r="NS16" s="21"/>
      <c r="NT16" s="21"/>
      <c r="NU16" s="21"/>
      <c r="NV16" s="21"/>
      <c r="NW16" s="21"/>
      <c r="NX16" s="21"/>
      <c r="NY16" s="21"/>
      <c r="NZ16" s="21"/>
      <c r="OA16" s="21"/>
      <c r="OB16" s="21"/>
      <c r="OC16" s="21"/>
      <c r="OD16" s="21"/>
      <c r="OE16" s="21"/>
      <c r="OF16" s="21"/>
      <c r="OG16" s="21"/>
      <c r="OH16" s="21"/>
      <c r="OI16" s="21"/>
      <c r="OJ16" s="21"/>
      <c r="OK16" s="21"/>
      <c r="OL16" s="21"/>
      <c r="OM16" s="21"/>
      <c r="ON16" s="21"/>
      <c r="OO16" s="21"/>
      <c r="OP16" s="21"/>
      <c r="OQ16" s="21"/>
      <c r="OR16" s="21"/>
      <c r="OS16" s="21"/>
      <c r="OT16" s="21"/>
      <c r="OU16" s="21"/>
      <c r="OV16" s="21"/>
      <c r="OW16" s="21"/>
      <c r="OX16" s="21"/>
      <c r="OY16" s="21"/>
      <c r="OZ16" s="21"/>
      <c r="PA16" s="21"/>
      <c r="PB16" s="21"/>
      <c r="PC16" s="21"/>
      <c r="PD16" s="21"/>
      <c r="PE16" s="21"/>
      <c r="PF16" s="21"/>
      <c r="PG16" s="21"/>
      <c r="PH16" s="21"/>
      <c r="PI16" s="21"/>
      <c r="PJ16" s="21"/>
      <c r="PK16" s="21"/>
      <c r="PL16" s="21"/>
      <c r="PM16" s="21"/>
      <c r="PN16" s="21"/>
      <c r="PO16" s="21"/>
      <c r="PP16" s="21"/>
      <c r="PQ16" s="21"/>
      <c r="PR16" s="21"/>
      <c r="PS16" s="21"/>
      <c r="PT16" s="21"/>
      <c r="PU16" s="21"/>
      <c r="PV16" s="21"/>
      <c r="PW16" s="21"/>
      <c r="PX16" s="21"/>
      <c r="PY16" s="21"/>
      <c r="PZ16" s="21"/>
      <c r="QA16" s="21"/>
      <c r="QB16" s="21"/>
      <c r="QC16" s="21"/>
      <c r="QD16" s="21"/>
      <c r="QE16" s="21"/>
      <c r="QF16" s="21"/>
      <c r="QG16" s="21"/>
      <c r="QH16" s="21"/>
      <c r="QI16" s="21"/>
      <c r="QJ16" s="21"/>
      <c r="QK16" s="21"/>
      <c r="QL16" s="21"/>
      <c r="QM16" s="21"/>
      <c r="QN16" s="21"/>
      <c r="QO16" s="21"/>
      <c r="QP16" s="21"/>
      <c r="QQ16" s="21"/>
      <c r="QR16" s="21"/>
      <c r="QS16" s="21"/>
      <c r="QT16" s="21"/>
      <c r="QU16" s="21"/>
      <c r="QV16" s="21"/>
      <c r="QW16" s="21"/>
      <c r="QX16" s="21"/>
      <c r="QY16" s="21"/>
      <c r="QZ16" s="21"/>
      <c r="RA16" s="21"/>
      <c r="RB16" s="21"/>
      <c r="RC16" s="21"/>
      <c r="RD16" s="21"/>
      <c r="RE16" s="21"/>
      <c r="RF16" s="21"/>
      <c r="RG16" s="21"/>
      <c r="RH16" s="21"/>
      <c r="RI16" s="21"/>
      <c r="RJ16" s="21"/>
      <c r="RK16" s="21"/>
      <c r="RL16" s="21"/>
      <c r="RM16" s="21"/>
      <c r="RN16" s="21"/>
      <c r="RO16" s="21"/>
      <c r="RP16" s="21"/>
      <c r="RQ16" s="21"/>
      <c r="RR16" s="21"/>
      <c r="RS16" s="21"/>
      <c r="RT16" s="21"/>
      <c r="RU16" s="21"/>
      <c r="RV16" s="21"/>
      <c r="RW16" s="21"/>
      <c r="RX16" s="21"/>
      <c r="RY16" s="21"/>
      <c r="RZ16" s="21"/>
      <c r="SA16" s="21"/>
      <c r="SB16" s="21"/>
      <c r="SC16" s="21"/>
      <c r="SD16" s="21"/>
      <c r="SE16" s="21"/>
      <c r="SF16" s="21"/>
      <c r="SG16" s="21"/>
      <c r="SH16" s="21"/>
      <c r="SI16" s="21"/>
      <c r="SJ16" s="21"/>
      <c r="SK16" s="21"/>
      <c r="SL16" s="21"/>
      <c r="SM16" s="21"/>
      <c r="SN16" s="21"/>
      <c r="SO16" s="21"/>
      <c r="SP16" s="21"/>
      <c r="SQ16" s="21"/>
      <c r="SR16" s="21"/>
      <c r="SS16" s="21"/>
      <c r="ST16" s="21"/>
      <c r="SU16" s="21"/>
      <c r="SV16" s="21"/>
      <c r="SW16" s="21"/>
      <c r="SX16" s="21"/>
      <c r="SY16" s="21"/>
      <c r="SZ16" s="21"/>
      <c r="TA16" s="21"/>
      <c r="TB16" s="21"/>
      <c r="TC16" s="21"/>
      <c r="TD16" s="21"/>
      <c r="TE16" s="21"/>
      <c r="TF16" s="21"/>
      <c r="TG16" s="21"/>
      <c r="TH16" s="21"/>
      <c r="TI16" s="21"/>
      <c r="TJ16" s="21"/>
      <c r="TK16" s="21"/>
      <c r="TL16" s="21"/>
      <c r="TM16" s="21"/>
      <c r="TN16" s="21"/>
      <c r="TO16" s="21"/>
      <c r="TP16" s="21"/>
      <c r="TQ16" s="21"/>
      <c r="TR16" s="21"/>
      <c r="TS16" s="21"/>
      <c r="TT16" s="21"/>
      <c r="TU16" s="21"/>
      <c r="TV16" s="21"/>
      <c r="TW16" s="21"/>
      <c r="TX16" s="21"/>
      <c r="TY16" s="21"/>
      <c r="TZ16" s="21"/>
      <c r="UA16" s="21"/>
      <c r="UB16" s="21"/>
      <c r="UC16" s="21"/>
      <c r="UD16" s="21"/>
      <c r="UE16" s="21"/>
      <c r="UF16" s="21"/>
      <c r="UG16" s="21"/>
      <c r="UH16" s="21"/>
      <c r="UI16" s="21"/>
      <c r="UJ16" s="21"/>
      <c r="UK16" s="21"/>
      <c r="UL16" s="21"/>
      <c r="UM16" s="21"/>
      <c r="UN16" s="21"/>
      <c r="UO16" s="21"/>
      <c r="UP16" s="21"/>
      <c r="UQ16" s="21"/>
      <c r="UR16" s="21"/>
      <c r="US16" s="21"/>
      <c r="UT16" s="21"/>
      <c r="UU16" s="21"/>
      <c r="UV16" s="21"/>
      <c r="UW16" s="21"/>
      <c r="UX16" s="21"/>
      <c r="UY16" s="21"/>
      <c r="UZ16" s="21"/>
      <c r="VA16" s="21"/>
      <c r="VB16" s="21"/>
      <c r="VC16" s="21"/>
      <c r="VD16" s="21"/>
      <c r="VE16" s="21"/>
      <c r="VF16" s="21"/>
      <c r="VG16" s="21"/>
      <c r="VH16" s="21"/>
      <c r="VI16" s="21"/>
      <c r="VJ16" s="21"/>
      <c r="VK16" s="21"/>
      <c r="VL16" s="21"/>
      <c r="VM16" s="21"/>
      <c r="VN16" s="21"/>
      <c r="VO16" s="21"/>
      <c r="VP16" s="21"/>
      <c r="VQ16" s="21"/>
      <c r="VR16" s="21"/>
      <c r="VS16" s="21"/>
      <c r="VT16" s="21"/>
      <c r="VU16" s="21"/>
      <c r="VV16" s="21"/>
      <c r="VW16" s="21"/>
      <c r="VX16" s="21"/>
      <c r="VY16" s="21"/>
      <c r="VZ16" s="21"/>
      <c r="WA16" s="21"/>
      <c r="WB16" s="21"/>
      <c r="WC16" s="21"/>
      <c r="WD16" s="21"/>
      <c r="WE16" s="21"/>
      <c r="WF16" s="21"/>
      <c r="WG16" s="21"/>
      <c r="WH16" s="21"/>
      <c r="WI16" s="21"/>
      <c r="WJ16" s="21"/>
      <c r="WK16" s="21"/>
      <c r="WL16" s="21"/>
      <c r="WM16" s="21"/>
      <c r="WN16" s="21"/>
      <c r="WO16" s="21"/>
      <c r="WP16" s="21"/>
      <c r="WQ16" s="21"/>
      <c r="WR16" s="21"/>
      <c r="WS16" s="21"/>
      <c r="WT16" s="21"/>
      <c r="WU16" s="21"/>
      <c r="WV16" s="21"/>
      <c r="WW16" s="21"/>
      <c r="WX16" s="21"/>
      <c r="WY16" s="21"/>
      <c r="WZ16" s="21"/>
      <c r="XA16" s="21"/>
      <c r="XB16" s="21"/>
      <c r="XC16" s="21"/>
      <c r="XD16" s="21"/>
      <c r="XE16" s="21"/>
      <c r="XF16" s="21"/>
      <c r="XG16" s="21"/>
      <c r="XH16" s="21"/>
      <c r="XI16" s="21"/>
      <c r="XJ16" s="21"/>
      <c r="XK16" s="21"/>
      <c r="XL16" s="21"/>
      <c r="XM16" s="21"/>
      <c r="XN16" s="21"/>
      <c r="XO16" s="21"/>
      <c r="XP16" s="21"/>
      <c r="XQ16" s="21"/>
      <c r="XR16" s="21"/>
      <c r="XS16" s="21"/>
      <c r="XT16" s="21"/>
      <c r="XU16" s="21"/>
      <c r="XV16" s="21"/>
      <c r="XW16" s="21"/>
      <c r="XX16" s="21"/>
      <c r="XY16" s="21"/>
      <c r="XZ16" s="21"/>
      <c r="YA16" s="21"/>
      <c r="YB16" s="21"/>
      <c r="YC16" s="21"/>
      <c r="YD16" s="21"/>
      <c r="YE16" s="21"/>
      <c r="YF16" s="21"/>
      <c r="YG16" s="21"/>
      <c r="YH16" s="21"/>
      <c r="YI16" s="21"/>
      <c r="YJ16" s="21"/>
      <c r="YK16" s="21"/>
      <c r="YL16" s="21"/>
      <c r="YM16" s="21"/>
      <c r="YN16" s="21"/>
      <c r="YO16" s="21"/>
      <c r="YP16" s="21"/>
      <c r="YQ16" s="21"/>
      <c r="YR16" s="21"/>
      <c r="YS16" s="21"/>
      <c r="YT16" s="21"/>
      <c r="YU16" s="21"/>
      <c r="YV16" s="21"/>
      <c r="YW16" s="21"/>
      <c r="YX16" s="21"/>
      <c r="YY16" s="21"/>
      <c r="YZ16" s="21"/>
      <c r="ZA16" s="21"/>
      <c r="ZB16" s="21"/>
      <c r="ZC16" s="21"/>
      <c r="ZD16" s="21"/>
      <c r="ZE16" s="21"/>
      <c r="ZF16" s="21"/>
      <c r="ZG16" s="21"/>
      <c r="ZH16" s="21"/>
      <c r="ZI16" s="21"/>
      <c r="ZJ16" s="21"/>
      <c r="ZK16" s="21"/>
      <c r="ZL16" s="21"/>
      <c r="ZM16" s="21"/>
      <c r="ZN16" s="21"/>
      <c r="ZO16" s="21"/>
      <c r="ZP16" s="21"/>
      <c r="ZQ16" s="21"/>
      <c r="ZR16" s="21"/>
      <c r="ZS16" s="21"/>
      <c r="ZT16" s="21"/>
      <c r="ZU16" s="21"/>
      <c r="ZV16" s="21"/>
      <c r="ZW16" s="21"/>
      <c r="ZX16" s="21"/>
      <c r="ZY16" s="21"/>
      <c r="ZZ16" s="21"/>
      <c r="AAA16" s="21"/>
      <c r="AAB16" s="21"/>
      <c r="AAC16" s="21"/>
      <c r="AAD16" s="21"/>
      <c r="AAE16" s="21"/>
      <c r="AAF16" s="21"/>
      <c r="AAG16" s="21"/>
      <c r="AAH16" s="21"/>
      <c r="AAI16" s="21"/>
      <c r="AAJ16" s="21"/>
      <c r="AAK16" s="21"/>
      <c r="AAL16" s="21"/>
      <c r="AAM16" s="21"/>
      <c r="AAN16" s="21"/>
      <c r="AAO16" s="21"/>
      <c r="AAP16" s="21"/>
      <c r="AAQ16" s="21"/>
      <c r="AAR16" s="21"/>
      <c r="AAS16" s="21"/>
      <c r="AAT16" s="21"/>
      <c r="AAU16" s="21"/>
      <c r="AAV16" s="21"/>
      <c r="AAW16" s="21"/>
      <c r="AAX16" s="21"/>
      <c r="AAY16" s="21"/>
      <c r="AAZ16" s="21"/>
      <c r="ABA16" s="21"/>
      <c r="ABB16" s="21"/>
      <c r="ABC16" s="21"/>
      <c r="ABD16" s="21"/>
      <c r="ABE16" s="21"/>
      <c r="ABF16" s="21"/>
      <c r="ABG16" s="21"/>
      <c r="ABH16" s="21"/>
      <c r="ABI16" s="21"/>
      <c r="ABJ16" s="21"/>
      <c r="ABK16" s="21"/>
      <c r="ABL16" s="21"/>
      <c r="ABM16" s="21"/>
      <c r="ABN16" s="21"/>
      <c r="ABO16" s="21"/>
      <c r="ABP16" s="21"/>
      <c r="ABQ16" s="21"/>
      <c r="ABR16" s="21"/>
      <c r="ABS16" s="21"/>
      <c r="ABT16" s="21"/>
      <c r="ABU16" s="21"/>
      <c r="ABV16" s="21"/>
      <c r="ABW16" s="21"/>
      <c r="ABX16" s="21"/>
      <c r="ABY16" s="21"/>
      <c r="ABZ16" s="21"/>
      <c r="ACA16" s="21"/>
      <c r="ACB16" s="21"/>
      <c r="ACC16" s="21"/>
      <c r="ACD16" s="21"/>
      <c r="ACE16" s="21"/>
      <c r="ACF16" s="21"/>
      <c r="ACG16" s="21"/>
      <c r="ACH16" s="21"/>
      <c r="ACI16" s="21"/>
      <c r="ACJ16" s="21"/>
      <c r="ACK16" s="21"/>
      <c r="ACL16" s="21"/>
      <c r="ACM16" s="21"/>
      <c r="ACN16" s="21"/>
      <c r="ACO16" s="21"/>
      <c r="ACP16" s="21"/>
      <c r="ACQ16" s="21"/>
      <c r="ACR16" s="21"/>
      <c r="ACS16" s="21"/>
      <c r="ACT16" s="21"/>
      <c r="ACU16" s="21"/>
      <c r="ACV16" s="21"/>
      <c r="ACW16" s="21"/>
      <c r="ACX16" s="21"/>
      <c r="ACY16" s="21"/>
      <c r="ACZ16" s="21"/>
      <c r="ADA16" s="21"/>
      <c r="ADB16" s="21"/>
      <c r="ADC16" s="21"/>
      <c r="ADD16" s="21"/>
      <c r="ADE16" s="21"/>
      <c r="ADF16" s="21"/>
      <c r="ADG16" s="21"/>
      <c r="ADH16" s="21"/>
      <c r="ADI16" s="21"/>
      <c r="ADJ16" s="21"/>
      <c r="ADK16" s="21"/>
      <c r="ADL16" s="21"/>
      <c r="ADM16" s="21"/>
      <c r="ADN16" s="21"/>
      <c r="ADO16" s="21"/>
      <c r="ADP16" s="21"/>
      <c r="ADQ16" s="21"/>
      <c r="ADR16" s="21"/>
      <c r="ADS16" s="21"/>
      <c r="ADT16" s="21"/>
      <c r="ADU16" s="21"/>
      <c r="ADV16" s="21"/>
      <c r="ADW16" s="21"/>
      <c r="ADX16" s="21"/>
      <c r="ADY16" s="21"/>
      <c r="ADZ16" s="21"/>
      <c r="AEA16" s="21"/>
      <c r="AEB16" s="21"/>
      <c r="AEC16" s="21"/>
      <c r="AED16" s="21"/>
      <c r="AEE16" s="21"/>
      <c r="AEF16" s="21"/>
      <c r="AEG16" s="21"/>
      <c r="AEH16" s="21"/>
      <c r="AEI16" s="21"/>
      <c r="AEJ16" s="21"/>
      <c r="AEK16" s="21"/>
      <c r="AEL16" s="21"/>
      <c r="AEM16" s="21"/>
      <c r="AEN16" s="21"/>
      <c r="AEO16" s="21"/>
      <c r="AEP16" s="21"/>
      <c r="AEQ16" s="21"/>
      <c r="AER16" s="21"/>
      <c r="AES16" s="21"/>
      <c r="AET16" s="21"/>
      <c r="AEU16" s="21"/>
      <c r="AEV16" s="21"/>
      <c r="AEW16" s="21"/>
      <c r="AEX16" s="21"/>
      <c r="AEY16" s="21"/>
      <c r="AEZ16" s="21"/>
      <c r="AFA16" s="21"/>
      <c r="AFB16" s="21"/>
      <c r="AFC16" s="21"/>
      <c r="AFD16" s="21"/>
      <c r="AFE16" s="21"/>
      <c r="AFF16" s="21"/>
      <c r="AFG16" s="21"/>
      <c r="AFH16" s="21"/>
      <c r="AFI16" s="21"/>
      <c r="AFJ16" s="21"/>
      <c r="AFK16" s="21"/>
      <c r="AFL16" s="21"/>
      <c r="AFM16" s="21"/>
      <c r="AFN16" s="21"/>
      <c r="AFO16" s="21"/>
      <c r="AFP16" s="21"/>
      <c r="AFQ16" s="21"/>
      <c r="AFR16" s="21"/>
      <c r="AFS16" s="21"/>
      <c r="AFT16" s="21"/>
      <c r="AFU16" s="21"/>
      <c r="AFV16" s="21"/>
      <c r="AFW16" s="21"/>
      <c r="AFX16" s="21"/>
      <c r="AFY16" s="21"/>
      <c r="AFZ16" s="21"/>
      <c r="AGA16" s="21"/>
      <c r="AGB16" s="21"/>
      <c r="AGC16" s="21"/>
      <c r="AGD16" s="21"/>
      <c r="AGE16" s="21"/>
      <c r="AGF16" s="21"/>
      <c r="AGG16" s="21"/>
      <c r="AGH16" s="21"/>
      <c r="AGI16" s="21"/>
      <c r="AGJ16" s="21"/>
      <c r="AGK16" s="21"/>
      <c r="AGL16" s="21"/>
      <c r="AGM16" s="21"/>
      <c r="AGN16" s="21"/>
      <c r="AGO16" s="21"/>
      <c r="AGP16" s="21"/>
      <c r="AGQ16" s="21"/>
      <c r="AGR16" s="21"/>
      <c r="AGS16" s="21"/>
      <c r="AGT16" s="21"/>
      <c r="AGU16" s="21"/>
      <c r="AGV16" s="21"/>
      <c r="AGW16" s="21"/>
      <c r="AGX16" s="21"/>
      <c r="AGY16" s="21"/>
      <c r="AGZ16" s="21"/>
      <c r="AHA16" s="21"/>
      <c r="AHB16" s="21"/>
      <c r="AHC16" s="21"/>
      <c r="AHD16" s="21"/>
      <c r="AHE16" s="21"/>
      <c r="AHF16" s="21"/>
      <c r="AHG16" s="21"/>
      <c r="AHH16" s="21"/>
      <c r="AHI16" s="21"/>
      <c r="AHJ16" s="21"/>
      <c r="AHK16" s="21"/>
      <c r="AHL16" s="21"/>
      <c r="AHM16" s="21"/>
      <c r="AHN16" s="21"/>
      <c r="AHO16" s="21"/>
      <c r="AHP16" s="21"/>
      <c r="AHQ16" s="21"/>
      <c r="AHR16" s="21"/>
      <c r="AHS16" s="21"/>
      <c r="AHT16" s="21"/>
      <c r="AHU16" s="21"/>
      <c r="AHV16" s="21"/>
      <c r="AHW16" s="21"/>
      <c r="AHX16" s="21"/>
      <c r="AHY16" s="21"/>
      <c r="AHZ16" s="21"/>
      <c r="AIA16" s="21"/>
      <c r="AIB16" s="21"/>
      <c r="AIC16" s="21"/>
      <c r="AID16" s="21"/>
      <c r="AIE16" s="21"/>
      <c r="AIF16" s="21"/>
      <c r="AIG16" s="21"/>
      <c r="AIH16" s="21"/>
      <c r="AII16" s="21"/>
      <c r="AIJ16" s="21"/>
      <c r="AIK16" s="21"/>
      <c r="AIL16" s="21"/>
      <c r="AIM16" s="21"/>
      <c r="AIN16" s="21"/>
      <c r="AIO16" s="21"/>
      <c r="AIP16" s="21"/>
      <c r="AIQ16" s="21"/>
      <c r="AIR16" s="21"/>
      <c r="AIS16" s="21"/>
      <c r="AIT16" s="21"/>
      <c r="AIU16" s="21"/>
      <c r="AIV16" s="21"/>
      <c r="AIW16" s="21"/>
      <c r="AIX16" s="21"/>
      <c r="AIY16" s="21"/>
      <c r="AIZ16" s="21"/>
      <c r="AJA16" s="21"/>
      <c r="AJB16" s="21"/>
      <c r="AJC16" s="21"/>
      <c r="AJD16" s="21"/>
      <c r="AJE16" s="21"/>
      <c r="AJF16" s="21"/>
      <c r="AJG16" s="21"/>
      <c r="AJH16" s="21"/>
      <c r="AJI16" s="21"/>
      <c r="AJJ16" s="21"/>
      <c r="AJK16" s="21"/>
      <c r="AJL16" s="21"/>
      <c r="AJM16" s="21"/>
      <c r="AJN16" s="21"/>
      <c r="AJO16" s="21"/>
      <c r="AJP16" s="21"/>
      <c r="AJQ16" s="21"/>
      <c r="AJR16" s="21"/>
      <c r="AJS16" s="21"/>
      <c r="AJT16" s="21"/>
      <c r="AJU16" s="21"/>
      <c r="AJV16" s="21"/>
      <c r="AJW16" s="21"/>
      <c r="AJX16" s="21"/>
      <c r="AJY16" s="21"/>
      <c r="AJZ16" s="21"/>
      <c r="AKA16" s="21"/>
      <c r="AKB16" s="21"/>
      <c r="AKC16" s="21"/>
      <c r="AKD16" s="21"/>
      <c r="AKE16" s="21"/>
      <c r="AKF16" s="21"/>
      <c r="AKG16" s="21"/>
      <c r="AKH16" s="21"/>
      <c r="AKI16" s="21"/>
      <c r="AKJ16" s="21"/>
      <c r="AKK16" s="21"/>
      <c r="AKL16" s="21"/>
      <c r="AKM16" s="21"/>
      <c r="AKN16" s="21"/>
      <c r="AKO16" s="21"/>
      <c r="AKP16" s="21"/>
      <c r="AKQ16" s="21"/>
      <c r="AKR16" s="21"/>
      <c r="AKS16" s="21"/>
      <c r="AKT16" s="21"/>
      <c r="AKU16" s="21"/>
      <c r="AKV16" s="21"/>
      <c r="AKW16" s="21"/>
      <c r="AKX16" s="21"/>
      <c r="AKY16" s="21"/>
      <c r="AKZ16" s="21"/>
      <c r="ALA16" s="21"/>
      <c r="ALB16" s="21"/>
      <c r="ALC16" s="21"/>
      <c r="ALD16" s="21"/>
      <c r="ALE16" s="21"/>
      <c r="ALF16" s="21"/>
      <c r="ALG16" s="21"/>
      <c r="ALH16" s="21"/>
      <c r="ALI16" s="21"/>
      <c r="ALJ16" s="21"/>
      <c r="ALK16" s="21"/>
      <c r="ALL16" s="21"/>
      <c r="ALM16" s="21"/>
      <c r="ALN16" s="21"/>
      <c r="ALO16" s="21"/>
      <c r="ALP16" s="21"/>
      <c r="ALQ16" s="21"/>
      <c r="ALR16" s="21"/>
      <c r="ALS16" s="21"/>
      <c r="ALT16" s="21"/>
      <c r="ALU16" s="21"/>
      <c r="ALV16" s="21"/>
      <c r="ALW16" s="21"/>
      <c r="ALX16" s="21"/>
      <c r="ALY16" s="21"/>
      <c r="ALZ16" s="21"/>
      <c r="AMA16" s="21"/>
      <c r="AMB16" s="21"/>
      <c r="AMC16" s="21"/>
      <c r="AMD16" s="21"/>
      <c r="AME16" s="21"/>
      <c r="AMF16" s="21"/>
      <c r="AMG16" s="21"/>
      <c r="AMH16" s="21"/>
      <c r="AMI16" s="21"/>
      <c r="AMJ16" s="21"/>
      <c r="AMK16" s="21"/>
      <c r="AML16" s="21"/>
      <c r="AMM16" s="21"/>
      <c r="AMN16" s="21"/>
      <c r="AMO16" s="21"/>
      <c r="AMP16" s="21"/>
      <c r="AMQ16" s="21"/>
      <c r="AMR16" s="21"/>
      <c r="AMS16" s="21"/>
      <c r="AMT16" s="21"/>
      <c r="AMU16" s="21"/>
      <c r="AMV16" s="21"/>
      <c r="AMW16" s="21"/>
      <c r="AMX16" s="21"/>
      <c r="AMY16" s="21"/>
      <c r="AMZ16" s="21"/>
      <c r="ANA16" s="21"/>
      <c r="ANB16" s="21"/>
      <c r="ANC16" s="21"/>
      <c r="AND16" s="21"/>
      <c r="ANE16" s="21"/>
      <c r="ANF16" s="21"/>
      <c r="ANG16" s="21"/>
      <c r="ANH16" s="21"/>
      <c r="ANI16" s="21"/>
      <c r="ANJ16" s="21"/>
      <c r="ANK16" s="21"/>
      <c r="ANL16" s="21"/>
      <c r="ANM16" s="21"/>
      <c r="ANN16" s="21"/>
      <c r="ANO16" s="21"/>
      <c r="ANP16" s="21"/>
      <c r="ANQ16" s="21"/>
      <c r="ANR16" s="21"/>
      <c r="ANS16" s="21"/>
      <c r="ANT16" s="21"/>
      <c r="ANU16" s="21"/>
      <c r="ANV16" s="21"/>
      <c r="ANW16" s="21"/>
      <c r="ANX16" s="21"/>
      <c r="ANY16" s="21"/>
      <c r="ANZ16" s="21"/>
      <c r="AOA16" s="21"/>
      <c r="AOB16" s="21"/>
      <c r="AOC16" s="21"/>
      <c r="AOD16" s="21"/>
      <c r="AOE16" s="21"/>
      <c r="AOF16" s="21"/>
      <c r="AOG16" s="21"/>
      <c r="AOH16" s="21"/>
      <c r="AOI16" s="21"/>
      <c r="AOJ16" s="21"/>
      <c r="AOK16" s="21"/>
      <c r="AOL16" s="21"/>
      <c r="AOM16" s="21"/>
      <c r="AON16" s="21"/>
      <c r="AOO16" s="21"/>
      <c r="AOP16" s="21"/>
      <c r="AOQ16" s="21"/>
      <c r="AOR16" s="21"/>
      <c r="AOS16" s="21"/>
      <c r="AOT16" s="21"/>
      <c r="AOU16" s="21"/>
      <c r="AOV16" s="21"/>
      <c r="AOW16" s="21"/>
      <c r="AOX16" s="21"/>
      <c r="AOY16" s="21"/>
      <c r="AOZ16" s="21"/>
      <c r="APA16" s="21"/>
      <c r="APB16" s="21"/>
      <c r="APC16" s="21"/>
      <c r="APD16" s="21"/>
      <c r="APE16" s="21"/>
      <c r="APF16" s="21"/>
      <c r="APG16" s="21"/>
      <c r="APH16" s="21"/>
      <c r="API16" s="21"/>
      <c r="APJ16" s="21"/>
      <c r="APK16" s="21"/>
      <c r="APL16" s="21"/>
      <c r="APM16" s="21"/>
      <c r="APN16" s="21"/>
      <c r="APO16" s="21"/>
      <c r="APP16" s="21"/>
      <c r="APQ16" s="21"/>
      <c r="APR16" s="21"/>
      <c r="APS16" s="21"/>
      <c r="APT16" s="21"/>
      <c r="APU16" s="21"/>
      <c r="APV16" s="21"/>
      <c r="APW16" s="21"/>
      <c r="APX16" s="21"/>
      <c r="APY16" s="21"/>
      <c r="APZ16" s="21"/>
      <c r="AQA16" s="21"/>
      <c r="AQB16" s="21"/>
      <c r="AQC16" s="21"/>
      <c r="AQD16" s="21"/>
      <c r="AQE16" s="21"/>
      <c r="AQF16" s="21"/>
      <c r="AQG16" s="21"/>
      <c r="AQH16" s="21"/>
      <c r="AQI16" s="21"/>
      <c r="AQJ16" s="21"/>
      <c r="AQK16" s="21"/>
      <c r="AQL16" s="21"/>
      <c r="AQM16" s="21"/>
      <c r="AQN16" s="21"/>
      <c r="AQO16" s="21"/>
      <c r="AQP16" s="21"/>
      <c r="AQQ16" s="21"/>
      <c r="AQR16" s="21"/>
      <c r="AQS16" s="21"/>
      <c r="AQT16" s="21"/>
      <c r="AQU16" s="21"/>
      <c r="AQV16" s="21"/>
      <c r="AQW16" s="21"/>
      <c r="AQX16" s="21"/>
      <c r="AQY16" s="21"/>
      <c r="AQZ16" s="21"/>
      <c r="ARA16" s="21"/>
      <c r="ARB16" s="21"/>
      <c r="ARC16" s="21"/>
      <c r="ARD16" s="21"/>
      <c r="ARE16" s="21"/>
      <c r="ARF16" s="21"/>
      <c r="ARG16" s="21"/>
      <c r="ARH16" s="21"/>
      <c r="ARI16" s="21"/>
      <c r="ARJ16" s="21"/>
      <c r="ARK16" s="21"/>
      <c r="ARL16" s="21"/>
      <c r="ARM16" s="21"/>
      <c r="ARN16" s="21"/>
      <c r="ARO16" s="21"/>
      <c r="ARP16" s="21"/>
      <c r="ARQ16" s="21"/>
      <c r="ARR16" s="21"/>
      <c r="ARS16" s="21"/>
      <c r="ART16" s="21"/>
      <c r="ARU16" s="21"/>
      <c r="ARV16" s="21"/>
      <c r="ARW16" s="21"/>
      <c r="ARX16" s="21"/>
      <c r="ARY16" s="21"/>
      <c r="ARZ16" s="21"/>
      <c r="ASA16" s="21"/>
      <c r="ASB16" s="21"/>
      <c r="ASC16" s="21"/>
      <c r="ASD16" s="21"/>
      <c r="ASE16" s="21"/>
      <c r="ASF16" s="21"/>
      <c r="ASG16" s="21"/>
      <c r="ASH16" s="21"/>
      <c r="ASI16" s="21"/>
      <c r="ASJ16" s="21"/>
      <c r="ASK16" s="21"/>
      <c r="ASL16" s="21"/>
      <c r="ASM16" s="21"/>
      <c r="ASN16" s="21"/>
      <c r="ASO16" s="21"/>
      <c r="ASP16" s="21"/>
      <c r="ASQ16" s="21"/>
      <c r="ASR16" s="21"/>
      <c r="ASS16" s="21"/>
      <c r="AST16" s="21"/>
      <c r="ASU16" s="21"/>
      <c r="ASV16" s="21"/>
      <c r="ASW16" s="21"/>
      <c r="ASX16" s="21"/>
      <c r="ASY16" s="21"/>
      <c r="ASZ16" s="21"/>
      <c r="ATA16" s="21"/>
      <c r="ATB16" s="21"/>
      <c r="ATC16" s="21"/>
      <c r="ATD16" s="21"/>
      <c r="ATE16" s="21"/>
      <c r="ATF16" s="21"/>
      <c r="ATG16" s="21"/>
      <c r="ATH16" s="21"/>
      <c r="ATI16" s="21"/>
      <c r="ATJ16" s="21"/>
      <c r="ATK16" s="21"/>
      <c r="ATL16" s="21"/>
      <c r="ATM16" s="21"/>
      <c r="ATN16" s="21"/>
      <c r="ATO16" s="21"/>
      <c r="ATP16" s="21"/>
      <c r="ATQ16" s="21"/>
      <c r="ATR16" s="21"/>
      <c r="ATS16" s="21"/>
      <c r="ATT16" s="21"/>
      <c r="ATU16" s="21"/>
      <c r="ATV16" s="21"/>
      <c r="ATW16" s="21"/>
      <c r="ATX16" s="21"/>
      <c r="ATY16" s="21"/>
      <c r="ATZ16" s="21"/>
      <c r="AUA16" s="21"/>
      <c r="AUB16" s="21"/>
      <c r="AUC16" s="21"/>
      <c r="AUD16" s="21"/>
      <c r="AUE16" s="21"/>
      <c r="AUF16" s="21"/>
      <c r="AUG16" s="21"/>
      <c r="AUH16" s="21"/>
      <c r="AUI16" s="21"/>
      <c r="AUJ16" s="21"/>
      <c r="AUK16" s="21"/>
      <c r="AUL16" s="21"/>
      <c r="AUM16" s="21"/>
      <c r="AUN16" s="21"/>
      <c r="AUO16" s="21"/>
      <c r="AUP16" s="21"/>
      <c r="AUQ16" s="21"/>
      <c r="AUR16" s="21"/>
      <c r="AUS16" s="21"/>
      <c r="AUT16" s="21"/>
      <c r="AUU16" s="21"/>
      <c r="AUV16" s="21"/>
      <c r="AUW16" s="21"/>
      <c r="AUX16" s="21"/>
      <c r="AUY16" s="21"/>
      <c r="AUZ16" s="21"/>
      <c r="AVA16" s="21"/>
      <c r="AVB16" s="21"/>
      <c r="AVC16" s="21"/>
      <c r="AVD16" s="21"/>
      <c r="AVE16" s="21"/>
      <c r="AVF16" s="21"/>
      <c r="AVG16" s="21"/>
      <c r="AVH16" s="21"/>
      <c r="AVI16" s="21"/>
      <c r="AVJ16" s="21"/>
      <c r="AVK16" s="21"/>
      <c r="AVL16" s="21"/>
      <c r="AVM16" s="21"/>
      <c r="AVN16" s="21"/>
      <c r="AVO16" s="21"/>
      <c r="AVP16" s="21"/>
      <c r="AVQ16" s="21"/>
      <c r="AVR16" s="21"/>
      <c r="AVS16" s="21"/>
      <c r="AVT16" s="21"/>
      <c r="AVU16" s="21"/>
      <c r="AVV16" s="21"/>
      <c r="AVW16" s="21"/>
      <c r="AVX16" s="21"/>
      <c r="AVY16" s="21"/>
      <c r="AVZ16" s="21"/>
      <c r="AWA16" s="21"/>
      <c r="AWB16" s="21"/>
      <c r="AWC16" s="21"/>
      <c r="AWD16" s="21"/>
      <c r="AWE16" s="21"/>
      <c r="AWF16" s="21"/>
      <c r="AWG16" s="21"/>
      <c r="AWH16" s="21"/>
      <c r="AWI16" s="21"/>
      <c r="AWJ16" s="21"/>
      <c r="AWK16" s="21"/>
      <c r="AWL16" s="21"/>
      <c r="AWM16" s="21"/>
      <c r="AWN16" s="21"/>
      <c r="AWO16" s="21"/>
      <c r="AWP16" s="21"/>
      <c r="AWQ16" s="21"/>
      <c r="AWR16" s="21"/>
      <c r="AWS16" s="21"/>
      <c r="AWT16" s="21"/>
      <c r="AWU16" s="21"/>
      <c r="AWV16" s="21"/>
      <c r="AWW16" s="21"/>
      <c r="AWX16" s="21"/>
      <c r="AWY16" s="21"/>
      <c r="AWZ16" s="21"/>
      <c r="AXA16" s="21"/>
      <c r="AXB16" s="21"/>
      <c r="AXC16" s="21"/>
      <c r="AXD16" s="21"/>
      <c r="AXE16" s="21"/>
      <c r="AXF16" s="21"/>
      <c r="AXG16" s="21"/>
      <c r="AXH16" s="21"/>
      <c r="AXI16" s="21"/>
      <c r="AXJ16" s="21"/>
      <c r="AXK16" s="21"/>
      <c r="AXL16" s="21"/>
      <c r="AXM16" s="21"/>
      <c r="AXN16" s="21"/>
      <c r="AXO16" s="21"/>
      <c r="AXP16" s="21"/>
      <c r="AXQ16" s="21"/>
      <c r="AXR16" s="21"/>
      <c r="AXS16" s="21"/>
      <c r="AXT16" s="21"/>
      <c r="AXU16" s="21"/>
      <c r="AXV16" s="21"/>
      <c r="AXW16" s="21"/>
      <c r="AXX16" s="21"/>
      <c r="AXY16" s="21"/>
      <c r="AXZ16" s="21"/>
      <c r="AYA16" s="21"/>
      <c r="AYB16" s="21"/>
      <c r="AYC16" s="21"/>
      <c r="AYD16" s="21"/>
      <c r="AYE16" s="21"/>
      <c r="AYF16" s="21"/>
      <c r="AYG16" s="21"/>
      <c r="AYH16" s="21"/>
      <c r="AYI16" s="21"/>
      <c r="AYJ16" s="21"/>
      <c r="AYK16" s="21"/>
      <c r="AYL16" s="21"/>
      <c r="AYM16" s="21"/>
      <c r="AYN16" s="21"/>
      <c r="AYO16" s="21"/>
      <c r="AYP16" s="21"/>
      <c r="AYQ16" s="21"/>
      <c r="AYR16" s="21"/>
      <c r="AYS16" s="21"/>
      <c r="AYT16" s="21"/>
      <c r="AYU16" s="21"/>
      <c r="AYV16" s="21"/>
      <c r="AYW16" s="21"/>
      <c r="AYX16" s="21"/>
      <c r="AYY16" s="21"/>
      <c r="AYZ16" s="21"/>
      <c r="AZA16" s="21"/>
      <c r="AZB16" s="21"/>
      <c r="AZC16" s="21"/>
      <c r="AZD16" s="21"/>
      <c r="AZE16" s="21"/>
      <c r="AZF16" s="21"/>
      <c r="AZG16" s="21"/>
      <c r="AZH16" s="21"/>
      <c r="AZI16" s="21"/>
      <c r="AZJ16" s="21"/>
      <c r="AZK16" s="21"/>
      <c r="AZL16" s="21"/>
      <c r="AZM16" s="21"/>
      <c r="AZN16" s="21"/>
      <c r="AZO16" s="21"/>
      <c r="AZP16" s="21"/>
      <c r="AZQ16" s="21"/>
      <c r="AZR16" s="21"/>
      <c r="AZS16" s="21"/>
      <c r="AZT16" s="21"/>
      <c r="AZU16" s="21"/>
      <c r="AZV16" s="21"/>
      <c r="AZW16" s="21"/>
      <c r="AZX16" s="21"/>
      <c r="AZY16" s="21"/>
      <c r="AZZ16" s="21"/>
      <c r="BAA16" s="21"/>
      <c r="BAB16" s="21"/>
      <c r="BAC16" s="21"/>
      <c r="BAD16" s="21"/>
      <c r="BAE16" s="21"/>
      <c r="BAF16" s="21"/>
      <c r="BAG16" s="21"/>
      <c r="BAH16" s="21"/>
      <c r="BAI16" s="21"/>
      <c r="BAJ16" s="21"/>
      <c r="BAK16" s="21"/>
      <c r="BAL16" s="21"/>
      <c r="BAM16" s="21"/>
      <c r="BAN16" s="21"/>
      <c r="BAO16" s="21"/>
      <c r="BAP16" s="21"/>
      <c r="BAQ16" s="21"/>
      <c r="BAR16" s="21"/>
      <c r="BAS16" s="21"/>
      <c r="BAT16" s="21"/>
      <c r="BAU16" s="21"/>
      <c r="BAV16" s="21"/>
      <c r="BAW16" s="21"/>
      <c r="BAX16" s="21"/>
      <c r="BAY16" s="21"/>
      <c r="BAZ16" s="21"/>
      <c r="BBA16" s="21"/>
      <c r="BBB16" s="21"/>
      <c r="BBC16" s="21"/>
      <c r="BBD16" s="21"/>
      <c r="BBE16" s="21"/>
      <c r="BBF16" s="21"/>
      <c r="BBG16" s="21"/>
      <c r="BBH16" s="21"/>
      <c r="BBI16" s="21"/>
      <c r="BBJ16" s="21"/>
      <c r="BBK16" s="21"/>
      <c r="BBL16" s="21"/>
      <c r="BBM16" s="21"/>
      <c r="BBN16" s="21"/>
      <c r="BBO16" s="21"/>
      <c r="BBP16" s="21"/>
      <c r="BBQ16" s="21"/>
      <c r="BBR16" s="21"/>
      <c r="BBS16" s="21"/>
      <c r="BBT16" s="21"/>
      <c r="BBU16" s="21"/>
      <c r="BBV16" s="21"/>
      <c r="BBW16" s="21"/>
      <c r="BBX16" s="21"/>
      <c r="BBY16" s="21"/>
      <c r="BBZ16" s="21"/>
      <c r="BCA16" s="21"/>
      <c r="BCB16" s="21"/>
      <c r="BCC16" s="21"/>
      <c r="BCD16" s="21"/>
      <c r="BCE16" s="21"/>
      <c r="BCF16" s="21"/>
      <c r="BCG16" s="21"/>
      <c r="BCH16" s="21"/>
      <c r="BCI16" s="21"/>
      <c r="BCJ16" s="21"/>
      <c r="BCK16" s="21"/>
      <c r="BCL16" s="21"/>
      <c r="BCM16" s="21"/>
      <c r="BCN16" s="21"/>
      <c r="BCO16" s="21"/>
      <c r="BCP16" s="21"/>
      <c r="BCQ16" s="21"/>
      <c r="BCR16" s="21"/>
      <c r="BCS16" s="21"/>
      <c r="BCT16" s="21"/>
      <c r="BCU16" s="21"/>
      <c r="BCV16" s="21"/>
      <c r="BCW16" s="21"/>
      <c r="BCX16" s="21"/>
      <c r="BCY16" s="21"/>
      <c r="BCZ16" s="21"/>
      <c r="BDA16" s="21"/>
      <c r="BDB16" s="21"/>
      <c r="BDC16" s="21"/>
      <c r="BDD16" s="21"/>
      <c r="BDE16" s="21"/>
      <c r="BDF16" s="21"/>
      <c r="BDG16" s="21"/>
      <c r="BDH16" s="21"/>
      <c r="BDI16" s="21"/>
      <c r="BDJ16" s="21"/>
      <c r="BDK16" s="21"/>
      <c r="BDL16" s="21"/>
      <c r="BDM16" s="21"/>
      <c r="BDN16" s="21"/>
      <c r="BDO16" s="21"/>
      <c r="BDP16" s="21"/>
      <c r="BDQ16" s="21"/>
      <c r="BDR16" s="21"/>
      <c r="BDS16" s="21"/>
      <c r="BDT16" s="21"/>
      <c r="BDU16" s="21"/>
      <c r="BDV16" s="21"/>
      <c r="BDW16" s="21"/>
      <c r="BDX16" s="21"/>
      <c r="BDY16" s="21"/>
      <c r="BDZ16" s="21"/>
      <c r="BEA16" s="21"/>
      <c r="BEB16" s="21"/>
      <c r="BEC16" s="21"/>
      <c r="BED16" s="21"/>
      <c r="BEE16" s="21"/>
      <c r="BEF16" s="21"/>
      <c r="BEG16" s="21"/>
      <c r="BEH16" s="21"/>
      <c r="BEI16" s="21"/>
      <c r="BEJ16" s="21"/>
      <c r="BEK16" s="21"/>
      <c r="BEL16" s="21"/>
      <c r="BEM16" s="21"/>
      <c r="BEN16" s="21"/>
      <c r="BEO16" s="21"/>
      <c r="BEP16" s="21"/>
      <c r="BEQ16" s="21"/>
      <c r="BER16" s="21"/>
      <c r="BES16" s="21"/>
      <c r="BET16" s="21"/>
      <c r="BEU16" s="21"/>
      <c r="BEV16" s="21"/>
      <c r="BEW16" s="21"/>
      <c r="BEX16" s="21"/>
      <c r="BEY16" s="21"/>
      <c r="BEZ16" s="21"/>
      <c r="BFA16" s="21"/>
      <c r="BFB16" s="21"/>
      <c r="BFC16" s="21"/>
      <c r="BFD16" s="21"/>
      <c r="BFE16" s="21"/>
      <c r="BFF16" s="21"/>
      <c r="BFG16" s="21"/>
      <c r="BFH16" s="21"/>
      <c r="BFI16" s="21"/>
      <c r="BFJ16" s="21"/>
      <c r="BFK16" s="21"/>
      <c r="BFL16" s="21"/>
      <c r="BFM16" s="21"/>
      <c r="BFN16" s="21"/>
      <c r="BFO16" s="21"/>
      <c r="BFP16" s="21"/>
      <c r="BFQ16" s="21"/>
      <c r="BFR16" s="21"/>
      <c r="BFS16" s="21"/>
      <c r="BFT16" s="21"/>
      <c r="BFU16" s="21"/>
      <c r="BFV16" s="21"/>
      <c r="BFW16" s="21"/>
      <c r="BFX16" s="21"/>
      <c r="BFY16" s="21"/>
      <c r="BFZ16" s="21"/>
      <c r="BGA16" s="21"/>
      <c r="BGB16" s="21"/>
      <c r="BGC16" s="21"/>
      <c r="BGD16" s="21"/>
      <c r="BGE16" s="21"/>
      <c r="BGF16" s="21"/>
      <c r="BGG16" s="21"/>
      <c r="BGH16" s="21"/>
      <c r="BGI16" s="21"/>
      <c r="BGJ16" s="21"/>
      <c r="BGK16" s="21"/>
      <c r="BGL16" s="21"/>
      <c r="BGM16" s="21"/>
      <c r="BGN16" s="21"/>
      <c r="BGO16" s="21"/>
      <c r="BGP16" s="21"/>
      <c r="BGQ16" s="21"/>
      <c r="BGR16" s="21"/>
      <c r="BGS16" s="21"/>
      <c r="BGT16" s="21"/>
      <c r="BGU16" s="21"/>
      <c r="BGV16" s="21"/>
      <c r="BGW16" s="21"/>
      <c r="BGX16" s="21"/>
      <c r="BGY16" s="21"/>
      <c r="BGZ16" s="21"/>
      <c r="BHA16" s="21"/>
      <c r="BHB16" s="21"/>
      <c r="BHC16" s="21"/>
      <c r="BHD16" s="21"/>
      <c r="BHE16" s="21"/>
      <c r="BHF16" s="21"/>
      <c r="BHG16" s="21"/>
      <c r="BHH16" s="21"/>
      <c r="BHI16" s="21"/>
      <c r="BHJ16" s="21"/>
      <c r="BHK16" s="21"/>
      <c r="BHL16" s="21"/>
      <c r="BHM16" s="21"/>
      <c r="BHN16" s="21"/>
      <c r="BHO16" s="21"/>
      <c r="BHP16" s="21"/>
      <c r="BHQ16" s="21"/>
      <c r="BHR16" s="21"/>
      <c r="BHS16" s="21"/>
      <c r="BHT16" s="21"/>
      <c r="BHU16" s="21"/>
      <c r="BHV16" s="21"/>
      <c r="BHW16" s="21"/>
      <c r="BHX16" s="21"/>
      <c r="BHY16" s="21"/>
      <c r="BHZ16" s="21"/>
      <c r="BIA16" s="21"/>
      <c r="BIB16" s="21"/>
      <c r="BIC16" s="21"/>
      <c r="BID16" s="21"/>
      <c r="BIE16" s="21"/>
      <c r="BIF16" s="21"/>
      <c r="BIG16" s="21"/>
      <c r="BIH16" s="21"/>
      <c r="BII16" s="21"/>
      <c r="BIJ16" s="21"/>
      <c r="BIK16" s="21"/>
      <c r="BIL16" s="21"/>
      <c r="BIM16" s="21"/>
      <c r="BIN16" s="21"/>
      <c r="BIO16" s="21"/>
      <c r="BIP16" s="21"/>
      <c r="BIQ16" s="21"/>
      <c r="BIR16" s="21"/>
      <c r="BIS16" s="21"/>
      <c r="BIT16" s="21"/>
      <c r="BIU16" s="21"/>
      <c r="BIV16" s="21"/>
      <c r="BIW16" s="21"/>
      <c r="BIX16" s="21"/>
      <c r="BIY16" s="21"/>
      <c r="BIZ16" s="21"/>
      <c r="BJA16" s="21"/>
      <c r="BJB16" s="21"/>
      <c r="BJC16" s="21"/>
      <c r="BJD16" s="21"/>
      <c r="BJE16" s="21"/>
      <c r="BJF16" s="21"/>
      <c r="BJG16" s="21"/>
      <c r="BJH16" s="21"/>
      <c r="BJI16" s="21"/>
      <c r="BJJ16" s="21"/>
      <c r="BJK16" s="21"/>
      <c r="BJL16" s="21"/>
      <c r="BJM16" s="21"/>
      <c r="BJN16" s="21"/>
      <c r="BJO16" s="21"/>
      <c r="BJP16" s="21"/>
      <c r="BJQ16" s="21"/>
      <c r="BJR16" s="21"/>
      <c r="BJS16" s="21"/>
      <c r="BJT16" s="21"/>
      <c r="BJU16" s="21"/>
      <c r="BJV16" s="21"/>
      <c r="BJW16" s="21"/>
      <c r="BJX16" s="21"/>
      <c r="BJY16" s="21"/>
      <c r="BJZ16" s="21"/>
      <c r="BKA16" s="21"/>
      <c r="BKB16" s="21"/>
      <c r="BKC16" s="21"/>
      <c r="BKD16" s="21"/>
      <c r="BKE16" s="21"/>
      <c r="BKF16" s="21"/>
      <c r="BKG16" s="21"/>
      <c r="BKH16" s="21"/>
      <c r="BKI16" s="21"/>
      <c r="BKJ16" s="21"/>
      <c r="BKK16" s="21"/>
      <c r="BKL16" s="21"/>
      <c r="BKM16" s="21"/>
      <c r="BKN16" s="21"/>
      <c r="BKO16" s="21"/>
      <c r="BKP16" s="21"/>
      <c r="BKQ16" s="21"/>
      <c r="BKR16" s="21"/>
      <c r="BKS16" s="21"/>
      <c r="BKT16" s="21"/>
      <c r="BKU16" s="21"/>
      <c r="BKV16" s="21"/>
      <c r="BKW16" s="21"/>
      <c r="BKX16" s="21"/>
      <c r="BKY16" s="21"/>
      <c r="BKZ16" s="21"/>
      <c r="BLA16" s="21"/>
      <c r="BLB16" s="21"/>
      <c r="BLC16" s="21"/>
      <c r="BLD16" s="21"/>
      <c r="BLE16" s="21"/>
      <c r="BLF16" s="21"/>
      <c r="BLG16" s="21"/>
      <c r="BLH16" s="21"/>
      <c r="BLI16" s="21"/>
      <c r="BLJ16" s="21"/>
      <c r="BLK16" s="21"/>
      <c r="BLL16" s="21"/>
      <c r="BLM16" s="21"/>
      <c r="BLN16" s="21"/>
      <c r="BLO16" s="21"/>
      <c r="BLP16" s="21"/>
      <c r="BLQ16" s="21"/>
      <c r="BLR16" s="21"/>
      <c r="BLS16" s="21"/>
      <c r="BLT16" s="21"/>
      <c r="BLU16" s="21"/>
      <c r="BLV16" s="21"/>
      <c r="BLW16" s="21"/>
      <c r="BLX16" s="21"/>
      <c r="BLY16" s="21"/>
      <c r="BLZ16" s="21"/>
      <c r="BMA16" s="21"/>
      <c r="BMB16" s="21"/>
      <c r="BMC16" s="21"/>
      <c r="BMD16" s="21"/>
      <c r="BME16" s="21"/>
      <c r="BMF16" s="21"/>
      <c r="BMG16" s="21"/>
      <c r="BMH16" s="21"/>
      <c r="BMI16" s="21"/>
      <c r="BMJ16" s="21"/>
      <c r="BMK16" s="21"/>
      <c r="BML16" s="21"/>
      <c r="BMM16" s="21"/>
      <c r="BMN16" s="21"/>
      <c r="BMO16" s="21"/>
      <c r="BMP16" s="21"/>
      <c r="BMQ16" s="21"/>
      <c r="BMR16" s="21"/>
      <c r="BMS16" s="21"/>
      <c r="BMT16" s="21"/>
      <c r="BMU16" s="21"/>
      <c r="BMV16" s="21"/>
      <c r="BMW16" s="21"/>
      <c r="BMX16" s="21"/>
      <c r="BMY16" s="21"/>
      <c r="BMZ16" s="21"/>
      <c r="BNA16" s="21"/>
      <c r="BNB16" s="21"/>
      <c r="BNC16" s="21"/>
      <c r="BND16" s="21"/>
      <c r="BNE16" s="21"/>
      <c r="BNF16" s="21"/>
      <c r="BNG16" s="21"/>
      <c r="BNH16" s="21"/>
      <c r="BNI16" s="21"/>
      <c r="BNJ16" s="21"/>
      <c r="BNK16" s="21"/>
      <c r="BNL16" s="21"/>
      <c r="BNM16" s="21"/>
      <c r="BNN16" s="21"/>
      <c r="BNO16" s="21"/>
      <c r="BNP16" s="21"/>
      <c r="BNQ16" s="21"/>
      <c r="BNR16" s="21"/>
      <c r="BNS16" s="21"/>
      <c r="BNT16" s="21"/>
      <c r="BNU16" s="21"/>
      <c r="BNV16" s="21"/>
      <c r="BNW16" s="21"/>
      <c r="BNX16" s="21"/>
      <c r="BNY16" s="21"/>
      <c r="BNZ16" s="21"/>
      <c r="BOA16" s="21"/>
      <c r="BOB16" s="21"/>
      <c r="BOC16" s="21"/>
      <c r="BOD16" s="21"/>
      <c r="BOE16" s="21"/>
      <c r="BOF16" s="21"/>
      <c r="BOG16" s="21"/>
      <c r="BOH16" s="21"/>
      <c r="BOI16" s="21"/>
      <c r="BOJ16" s="21"/>
      <c r="BOK16" s="21"/>
      <c r="BOL16" s="21"/>
      <c r="BOM16" s="21"/>
      <c r="BON16" s="21"/>
      <c r="BOO16" s="21"/>
      <c r="BOP16" s="21"/>
      <c r="BOQ16" s="21"/>
      <c r="BOR16" s="21"/>
      <c r="BOS16" s="21"/>
      <c r="BOT16" s="21"/>
      <c r="BOU16" s="21"/>
      <c r="BOV16" s="21"/>
      <c r="BOW16" s="21"/>
      <c r="BOX16" s="21"/>
      <c r="BOY16" s="21"/>
      <c r="BOZ16" s="21"/>
      <c r="BPA16" s="21"/>
      <c r="BPB16" s="21"/>
      <c r="BPC16" s="21"/>
      <c r="BPD16" s="21"/>
      <c r="BPE16" s="21"/>
      <c r="BPF16" s="21"/>
      <c r="BPG16" s="21"/>
      <c r="BPH16" s="21"/>
      <c r="BPI16" s="21"/>
      <c r="BPJ16" s="21"/>
      <c r="BPK16" s="21"/>
      <c r="BPL16" s="21"/>
      <c r="BPM16" s="21"/>
      <c r="BPN16" s="21"/>
      <c r="BPO16" s="21"/>
      <c r="BPP16" s="21"/>
      <c r="BPQ16" s="21"/>
      <c r="BPR16" s="21"/>
      <c r="BPS16" s="21"/>
      <c r="BPT16" s="21"/>
      <c r="BPU16" s="21"/>
      <c r="BPV16" s="21"/>
      <c r="BPW16" s="21"/>
      <c r="BPX16" s="21"/>
      <c r="BPY16" s="21"/>
      <c r="BPZ16" s="21"/>
      <c r="BQA16" s="21"/>
      <c r="BQB16" s="21"/>
      <c r="BQC16" s="21"/>
      <c r="BQD16" s="21"/>
      <c r="BQE16" s="21"/>
      <c r="BQF16" s="21"/>
      <c r="BQG16" s="21"/>
      <c r="BQH16" s="21"/>
      <c r="BQI16" s="21"/>
      <c r="BQJ16" s="21"/>
      <c r="BQK16" s="21"/>
      <c r="BQL16" s="21"/>
      <c r="BQM16" s="21"/>
      <c r="BQN16" s="21"/>
      <c r="BQO16" s="21"/>
      <c r="BQP16" s="21"/>
      <c r="BQQ16" s="21"/>
      <c r="BQR16" s="21"/>
      <c r="BQS16" s="21"/>
      <c r="BQT16" s="21"/>
      <c r="BQU16" s="21"/>
      <c r="BQV16" s="21"/>
      <c r="BQW16" s="21"/>
      <c r="BQX16" s="21"/>
      <c r="BQY16" s="21"/>
      <c r="BQZ16" s="21"/>
      <c r="BRA16" s="21"/>
      <c r="BRB16" s="21"/>
      <c r="BRC16" s="21"/>
      <c r="BRD16" s="21"/>
      <c r="BRE16" s="21"/>
      <c r="BRF16" s="21"/>
      <c r="BRG16" s="21"/>
      <c r="BRH16" s="21"/>
      <c r="BRI16" s="21"/>
      <c r="BRJ16" s="21"/>
      <c r="BRK16" s="21"/>
      <c r="BRL16" s="21"/>
      <c r="BRM16" s="21"/>
      <c r="BRN16" s="21"/>
      <c r="BRO16" s="21"/>
      <c r="BRP16" s="21"/>
      <c r="BRQ16" s="21"/>
      <c r="BRR16" s="21"/>
      <c r="BRS16" s="21"/>
      <c r="BRT16" s="21"/>
      <c r="BRU16" s="21"/>
      <c r="BRV16" s="21"/>
      <c r="BRW16" s="21"/>
      <c r="BRX16" s="21"/>
      <c r="BRY16" s="21"/>
      <c r="BRZ16" s="21"/>
      <c r="BSA16" s="21"/>
    </row>
    <row r="17" spans="1:37" x14ac:dyDescent="0.25">
      <c r="A17" s="247" t="s">
        <v>34</v>
      </c>
      <c r="B17" s="221">
        <v>30</v>
      </c>
      <c r="C17" s="248">
        <v>3</v>
      </c>
      <c r="D17" s="221" t="s">
        <v>38</v>
      </c>
      <c r="E17" s="221">
        <v>-3</v>
      </c>
      <c r="F17" s="221">
        <v>4</v>
      </c>
      <c r="G17" s="249">
        <v>108.65</v>
      </c>
      <c r="H17" s="159">
        <f t="shared" si="8"/>
        <v>110</v>
      </c>
      <c r="I17" s="249">
        <f t="shared" si="4"/>
        <v>108.65</v>
      </c>
      <c r="J17" s="221">
        <v>16.98</v>
      </c>
      <c r="K17" s="248">
        <f>AB17</f>
        <v>5.91</v>
      </c>
      <c r="L17" s="221">
        <v>1</v>
      </c>
      <c r="M17" s="258">
        <f>$K$6*(I17*$AK$12+IF(J17&gt;30,30*$AK$13+IF(J17&gt;60,30*$AK$14+IF(J17&gt;120,60*$AK$15,(J17-60)*$AK$15),(J17-30)*$AK$14),J17*$AK$13)+$AK$17*K17+L17*$AK$18)</f>
        <v>2128446.7509399997</v>
      </c>
      <c r="N17" s="221" t="s">
        <v>39</v>
      </c>
      <c r="O17" s="258">
        <f t="shared" ref="O17:O42" si="10">M17</f>
        <v>2128446.7509399997</v>
      </c>
      <c r="P17" s="258">
        <f t="shared" si="5"/>
        <v>1596335.0632049998</v>
      </c>
      <c r="Q17" s="258">
        <f t="shared" si="6"/>
        <v>2729442.7909799996</v>
      </c>
      <c r="R17" s="258">
        <f t="shared" si="7"/>
        <v>2229442.7909799996</v>
      </c>
      <c r="S17" s="258">
        <f t="shared" si="9"/>
        <v>2128446.7509399997</v>
      </c>
      <c r="T17" s="221"/>
      <c r="U17" s="259">
        <v>3</v>
      </c>
      <c r="V17" s="113" t="s">
        <v>291</v>
      </c>
      <c r="W17" t="s">
        <v>291</v>
      </c>
      <c r="X17" t="s">
        <v>291</v>
      </c>
      <c r="Z17" s="22" t="str">
        <f>C17&amp;A17</f>
        <v>3A1</v>
      </c>
      <c r="AA17" s="23">
        <v>3</v>
      </c>
      <c r="AB17" s="24">
        <v>5.91</v>
      </c>
      <c r="AC17" s="26"/>
      <c r="AE17" s="153"/>
      <c r="AF17" s="153"/>
      <c r="AG17" s="113"/>
      <c r="AJ17" s="179" t="s">
        <v>23</v>
      </c>
      <c r="AK17" s="148">
        <v>0.3</v>
      </c>
    </row>
    <row r="18" spans="1:37" x14ac:dyDescent="0.25">
      <c r="A18" s="247" t="s">
        <v>34</v>
      </c>
      <c r="B18" s="221">
        <v>30</v>
      </c>
      <c r="C18" s="248">
        <v>4</v>
      </c>
      <c r="D18" s="221" t="s">
        <v>40</v>
      </c>
      <c r="E18" s="221">
        <v>-3</v>
      </c>
      <c r="F18" s="221">
        <v>4</v>
      </c>
      <c r="G18" s="249">
        <v>108.42</v>
      </c>
      <c r="H18" s="159">
        <f t="shared" si="8"/>
        <v>110</v>
      </c>
      <c r="I18" s="249">
        <f t="shared" si="4"/>
        <v>108.42</v>
      </c>
      <c r="J18" s="221">
        <v>14.43</v>
      </c>
      <c r="K18" s="260">
        <f>AB18</f>
        <v>6.23</v>
      </c>
      <c r="L18" s="221">
        <v>1</v>
      </c>
      <c r="M18" s="258">
        <f>$K$6*(I18*$AK$12+IF(J18&gt;30,30*$AK$13+IF(J18&gt;60,30*$AK$14+IF(J18&gt;120,60*$AK$15,(J18-60)*$AK$15),(J18-30)*$AK$14),J18*$AK$13)+$AK$17*K18+L18*$AK$18)</f>
        <v>2112164.2247599997</v>
      </c>
      <c r="N18" s="221" t="s">
        <v>39</v>
      </c>
      <c r="O18" s="258">
        <f t="shared" si="10"/>
        <v>2112164.2247599997</v>
      </c>
      <c r="P18" s="258">
        <f t="shared" si="5"/>
        <v>1584123.1685699997</v>
      </c>
      <c r="Q18" s="258">
        <f t="shared" si="6"/>
        <v>2708562.6709199999</v>
      </c>
      <c r="R18" s="258">
        <f t="shared" si="7"/>
        <v>2208562.6709199999</v>
      </c>
      <c r="S18" s="258">
        <f t="shared" si="9"/>
        <v>2112164.2247599997</v>
      </c>
      <c r="T18" s="221"/>
      <c r="U18" s="259">
        <v>4</v>
      </c>
      <c r="V18" s="113" t="s">
        <v>291</v>
      </c>
      <c r="W18" t="s">
        <v>291</v>
      </c>
      <c r="X18" t="s">
        <v>291</v>
      </c>
      <c r="Z18" s="22" t="str">
        <f>C18&amp;A18</f>
        <v>4A1</v>
      </c>
      <c r="AA18" s="23">
        <v>4</v>
      </c>
      <c r="AB18" s="117">
        <v>6.23</v>
      </c>
      <c r="AC18" s="26"/>
      <c r="AE18" s="153"/>
      <c r="AF18" s="153"/>
      <c r="AG18" s="113"/>
      <c r="AJ18" s="179" t="s">
        <v>24</v>
      </c>
      <c r="AK18" s="148">
        <v>2</v>
      </c>
    </row>
    <row r="19" spans="1:37" x14ac:dyDescent="0.25">
      <c r="A19" s="247" t="s">
        <v>34</v>
      </c>
      <c r="B19" s="221">
        <v>30</v>
      </c>
      <c r="C19" s="248">
        <v>5</v>
      </c>
      <c r="D19" s="221" t="s">
        <v>41</v>
      </c>
      <c r="E19" s="221">
        <v>-2</v>
      </c>
      <c r="F19" s="221">
        <v>4</v>
      </c>
      <c r="G19" s="249">
        <v>108.65</v>
      </c>
      <c r="H19" s="159">
        <f t="shared" si="8"/>
        <v>110</v>
      </c>
      <c r="I19" s="249">
        <f t="shared" si="4"/>
        <v>108.65</v>
      </c>
      <c r="J19" s="221">
        <v>23.35</v>
      </c>
      <c r="K19" s="248">
        <f>AB19</f>
        <v>6.34</v>
      </c>
      <c r="L19" s="221">
        <v>1</v>
      </c>
      <c r="M19" s="258">
        <f>$K$6*(I19*$AK$12+IF(J19&gt;30,30*$AK$13+IF(J19&gt;60,30*$AK$14+IF(J19&gt;120,60*$AK$15,(J19-60)*$AK$15),(J19-30)*$AK$14),J19*$AK$13)+$AK$17*K19+L19*$AK$18)</f>
        <v>2165394.8637399999</v>
      </c>
      <c r="N19" s="221" t="s">
        <v>39</v>
      </c>
      <c r="O19" s="258">
        <f t="shared" si="10"/>
        <v>2165394.8637399999</v>
      </c>
      <c r="P19" s="258">
        <f t="shared" si="5"/>
        <v>1624046.147805</v>
      </c>
      <c r="Q19" s="258">
        <f t="shared" si="6"/>
        <v>2776823.7085799999</v>
      </c>
      <c r="R19" s="258">
        <f t="shared" si="7"/>
        <v>2276823.7085799999</v>
      </c>
      <c r="S19" s="258">
        <f t="shared" si="9"/>
        <v>2165394.8637399999</v>
      </c>
      <c r="T19" s="221"/>
      <c r="U19" s="259">
        <v>5</v>
      </c>
      <c r="V19" s="113" t="s">
        <v>291</v>
      </c>
      <c r="W19" t="s">
        <v>291</v>
      </c>
      <c r="X19" t="s">
        <v>291</v>
      </c>
      <c r="Z19" s="22" t="str">
        <f>C19&amp;A19</f>
        <v>5A1</v>
      </c>
      <c r="AA19" s="23">
        <v>5</v>
      </c>
      <c r="AB19" s="117">
        <v>6.34</v>
      </c>
      <c r="AC19" s="26"/>
      <c r="AE19" s="153"/>
      <c r="AF19" s="153"/>
      <c r="AG19" s="113"/>
      <c r="AJ19" s="173" t="s">
        <v>285</v>
      </c>
      <c r="AK19" s="171">
        <v>0.25</v>
      </c>
    </row>
    <row r="20" spans="1:37" x14ac:dyDescent="0.25">
      <c r="A20" s="247" t="s">
        <v>34</v>
      </c>
      <c r="B20" s="221">
        <v>30</v>
      </c>
      <c r="C20" s="248">
        <v>6</v>
      </c>
      <c r="D20" s="221" t="s">
        <v>42</v>
      </c>
      <c r="E20" s="221">
        <v>-2</v>
      </c>
      <c r="F20" s="221">
        <v>4</v>
      </c>
      <c r="G20" s="249">
        <v>108.42</v>
      </c>
      <c r="H20" s="159">
        <f t="shared" si="8"/>
        <v>110</v>
      </c>
      <c r="I20" s="249">
        <f t="shared" si="4"/>
        <v>108.42</v>
      </c>
      <c r="J20" s="221">
        <f>8.17+7.9</f>
        <v>16.07</v>
      </c>
      <c r="K20" s="248">
        <f>AB20</f>
        <v>7.73</v>
      </c>
      <c r="L20" s="221">
        <v>1</v>
      </c>
      <c r="M20" s="258">
        <f>$K$6*(I20*$AK$12+IF(J20&gt;30,30*$AK$13+IF(J20&gt;60,30*$AK$14+IF(J20&gt;120,60*$AK$15,(J20-60)*$AK$15),(J20-30)*$AK$14),J20*$AK$13)+$AK$17*K20+L20*$AK$18)</f>
        <v>2129225.5592</v>
      </c>
      <c r="N20" s="221" t="s">
        <v>39</v>
      </c>
      <c r="O20" s="258">
        <f t="shared" si="10"/>
        <v>2129225.5592</v>
      </c>
      <c r="P20" s="258">
        <f t="shared" si="5"/>
        <v>1596919.1694</v>
      </c>
      <c r="Q20" s="258">
        <f t="shared" si="6"/>
        <v>2730441.5063999998</v>
      </c>
      <c r="R20" s="258">
        <f t="shared" si="7"/>
        <v>2230441.5063999998</v>
      </c>
      <c r="S20" s="258">
        <f t="shared" si="9"/>
        <v>2129225.5592</v>
      </c>
      <c r="T20" s="221"/>
      <c r="U20" s="259">
        <v>6</v>
      </c>
      <c r="V20" s="113" t="s">
        <v>291</v>
      </c>
      <c r="W20" t="s">
        <v>291</v>
      </c>
      <c r="X20" t="s">
        <v>291</v>
      </c>
      <c r="Z20" s="22" t="str">
        <f>C20&amp;A20</f>
        <v>6A1</v>
      </c>
      <c r="AA20" s="23">
        <v>6</v>
      </c>
      <c r="AB20" s="117">
        <v>7.73</v>
      </c>
      <c r="AC20" s="26"/>
      <c r="AE20" s="153"/>
      <c r="AF20" s="153"/>
      <c r="AG20" s="113"/>
      <c r="AJ20" s="173" t="s">
        <v>286</v>
      </c>
      <c r="AK20" s="172">
        <v>500000</v>
      </c>
    </row>
    <row r="21" spans="1:37" x14ac:dyDescent="0.25">
      <c r="A21" s="247" t="s">
        <v>34</v>
      </c>
      <c r="B21" s="221">
        <v>30</v>
      </c>
      <c r="C21" s="248">
        <v>7</v>
      </c>
      <c r="D21" s="221" t="s">
        <v>43</v>
      </c>
      <c r="E21" s="221">
        <v>-1</v>
      </c>
      <c r="F21" s="221">
        <v>3</v>
      </c>
      <c r="G21" s="249">
        <v>79.56</v>
      </c>
      <c r="H21" s="159">
        <f t="shared" si="8"/>
        <v>90</v>
      </c>
      <c r="I21" s="249">
        <f t="shared" si="4"/>
        <v>79.56</v>
      </c>
      <c r="J21" s="221">
        <v>33.39</v>
      </c>
      <c r="K21" s="260">
        <f>AB21</f>
        <v>8.34</v>
      </c>
      <c r="L21" s="221">
        <v>1</v>
      </c>
      <c r="M21" s="258">
        <f>$K$6*(I21*$AK$12+IF(J21&gt;30,30*$AK$13+IF(J21&gt;60,30*$AK$14+IF(J21&gt;120,60*$AK$15,(J21-60)*$AK$15),(J21-30)*$AK$14),J21*$AK$13)+$AK$17*K21+L21*$AK$18)</f>
        <v>1697802.0067999999</v>
      </c>
      <c r="N21" s="221" t="s">
        <v>39</v>
      </c>
      <c r="O21" s="258">
        <f t="shared" si="10"/>
        <v>1697802.0067999999</v>
      </c>
      <c r="P21" s="258">
        <f t="shared" si="5"/>
        <v>1273351.5051</v>
      </c>
      <c r="Q21" s="258">
        <f t="shared" si="6"/>
        <v>2177199.6155999997</v>
      </c>
      <c r="R21" s="258">
        <f t="shared" si="7"/>
        <v>1677199.6155999997</v>
      </c>
      <c r="S21" s="258">
        <f t="shared" si="9"/>
        <v>1677199.6155999997</v>
      </c>
      <c r="T21" s="221"/>
      <c r="U21" s="259">
        <v>7</v>
      </c>
      <c r="V21" s="296" t="s">
        <v>291</v>
      </c>
      <c r="W21" s="219" t="s">
        <v>291</v>
      </c>
      <c r="X21" t="s">
        <v>291</v>
      </c>
      <c r="Z21" s="22" t="str">
        <f>C21&amp;A21</f>
        <v>7A1</v>
      </c>
      <c r="AA21" s="23">
        <v>7</v>
      </c>
      <c r="AB21" s="117">
        <v>8.34</v>
      </c>
      <c r="AC21" s="26"/>
      <c r="AE21" s="153"/>
      <c r="AF21" s="153"/>
      <c r="AG21" s="113"/>
      <c r="AJ21" s="149" t="s">
        <v>277</v>
      </c>
      <c r="AK21" s="180">
        <v>20000</v>
      </c>
    </row>
    <row r="22" spans="1:37" ht="15.75" customHeight="1" thickBot="1" x14ac:dyDescent="0.3">
      <c r="A22" s="247" t="s">
        <v>34</v>
      </c>
      <c r="B22" s="221">
        <v>30</v>
      </c>
      <c r="C22" s="248">
        <v>8</v>
      </c>
      <c r="D22" s="221" t="s">
        <v>44</v>
      </c>
      <c r="E22" s="221">
        <v>-1</v>
      </c>
      <c r="F22" s="221">
        <v>3</v>
      </c>
      <c r="G22" s="249">
        <v>79.33</v>
      </c>
      <c r="H22" s="159">
        <f t="shared" si="8"/>
        <v>90</v>
      </c>
      <c r="I22" s="249">
        <f t="shared" si="4"/>
        <v>79.33</v>
      </c>
      <c r="J22" s="221">
        <v>25.54</v>
      </c>
      <c r="K22" s="248">
        <f>AB22</f>
        <v>5.01</v>
      </c>
      <c r="L22" s="221">
        <v>1</v>
      </c>
      <c r="M22" s="258">
        <f>$K$6*(I22*$AK$12+IF(J22&gt;30,30*$AK$13+IF(J22&gt;60,30*$AK$14+IF(J22&gt;120,60*$AK$15,(J22-60)*$AK$15),(J22-30)*$AK$14),J22*$AK$13)+$AK$17*K22+L22*$AK$18)</f>
        <v>1639029.1508999998</v>
      </c>
      <c r="N22" s="221" t="s">
        <v>39</v>
      </c>
      <c r="O22" s="258">
        <f t="shared" si="10"/>
        <v>1639029.1508999998</v>
      </c>
      <c r="P22" s="258">
        <f t="shared" si="5"/>
        <v>1229271.8631749998</v>
      </c>
      <c r="Q22" s="258">
        <f t="shared" si="6"/>
        <v>2101831.4402999994</v>
      </c>
      <c r="R22" s="258">
        <f t="shared" si="7"/>
        <v>1601831.4402999994</v>
      </c>
      <c r="S22" s="258">
        <f t="shared" si="9"/>
        <v>1601831.4402999994</v>
      </c>
      <c r="T22" s="221"/>
      <c r="U22" s="259">
        <v>8</v>
      </c>
      <c r="V22" s="296" t="s">
        <v>291</v>
      </c>
      <c r="W22" s="219" t="s">
        <v>291</v>
      </c>
      <c r="X22" t="s">
        <v>291</v>
      </c>
      <c r="Z22" s="22" t="str">
        <f>C22&amp;A22</f>
        <v>8A1</v>
      </c>
      <c r="AA22" s="23">
        <v>8</v>
      </c>
      <c r="AB22" s="118">
        <v>5.01</v>
      </c>
      <c r="AC22" s="26"/>
      <c r="AE22" s="153"/>
      <c r="AF22" s="153"/>
      <c r="AJ22" s="181" t="s">
        <v>287</v>
      </c>
      <c r="AK22" s="182">
        <v>23225.94</v>
      </c>
    </row>
    <row r="23" spans="1:37" x14ac:dyDescent="0.25">
      <c r="A23" s="247" t="s">
        <v>34</v>
      </c>
      <c r="B23" s="221">
        <v>30</v>
      </c>
      <c r="C23" s="248">
        <v>9</v>
      </c>
      <c r="D23" s="221" t="s">
        <v>45</v>
      </c>
      <c r="E23" s="221">
        <v>0</v>
      </c>
      <c r="F23" s="221">
        <v>3</v>
      </c>
      <c r="G23" s="249">
        <v>80.459999999999994</v>
      </c>
      <c r="H23" s="159">
        <f t="shared" si="8"/>
        <v>90</v>
      </c>
      <c r="I23" s="249">
        <f t="shared" si="4"/>
        <v>80.459999999999994</v>
      </c>
      <c r="J23" s="221">
        <v>8.4</v>
      </c>
      <c r="K23" s="248">
        <f>AB23</f>
        <v>4.93</v>
      </c>
      <c r="L23" s="221">
        <v>1</v>
      </c>
      <c r="M23" s="258">
        <f>$K$6*(I23*$AK$12+IF(J23&gt;30,30*$AK$13+IF(J23&gt;60,30*$AK$14+IF(J23&gt;120,60*$AK$15,(J23-60)*$AK$15),(J23-30)*$AK$14),J23*$AK$13)+$AK$17*K23+L23*$AK$18)</f>
        <v>1565929.8453799998</v>
      </c>
      <c r="N23" s="221" t="s">
        <v>39</v>
      </c>
      <c r="O23" s="258">
        <f t="shared" si="10"/>
        <v>1565929.8453799998</v>
      </c>
      <c r="P23" s="258">
        <f t="shared" si="5"/>
        <v>1174447.3840349999</v>
      </c>
      <c r="Q23" s="258">
        <f t="shared" si="6"/>
        <v>2008091.5464599996</v>
      </c>
      <c r="R23" s="258">
        <f t="shared" si="7"/>
        <v>1508091.5464599996</v>
      </c>
      <c r="S23" s="258">
        <f t="shared" si="9"/>
        <v>1508091.5464599996</v>
      </c>
      <c r="T23" s="221"/>
      <c r="U23" s="259">
        <v>9</v>
      </c>
      <c r="V23" s="113" t="s">
        <v>291</v>
      </c>
      <c r="W23" t="s">
        <v>291</v>
      </c>
      <c r="X23" t="s">
        <v>291</v>
      </c>
      <c r="Z23" s="22" t="str">
        <f>C23&amp;A23</f>
        <v>9A1</v>
      </c>
      <c r="AA23" s="23">
        <v>9</v>
      </c>
      <c r="AB23" s="118">
        <v>4.93</v>
      </c>
      <c r="AC23" s="26"/>
      <c r="AE23" s="153"/>
      <c r="AF23" s="153"/>
    </row>
    <row r="24" spans="1:37" x14ac:dyDescent="0.25">
      <c r="A24" s="247" t="s">
        <v>34</v>
      </c>
      <c r="B24" s="221">
        <v>30</v>
      </c>
      <c r="C24" s="248">
        <v>10</v>
      </c>
      <c r="D24" s="221" t="s">
        <v>46</v>
      </c>
      <c r="E24" s="221">
        <v>0</v>
      </c>
      <c r="F24" s="221">
        <v>3</v>
      </c>
      <c r="G24" s="249">
        <v>79.66</v>
      </c>
      <c r="H24" s="159">
        <f t="shared" si="8"/>
        <v>90</v>
      </c>
      <c r="I24" s="249">
        <f t="shared" si="4"/>
        <v>79.66</v>
      </c>
      <c r="J24" s="221">
        <v>8.4</v>
      </c>
      <c r="K24" s="260">
        <f>AB24</f>
        <v>5.01</v>
      </c>
      <c r="L24" s="221">
        <v>1</v>
      </c>
      <c r="M24" s="258">
        <f>$K$6*(I24*$AK$12+IF(J24&gt;30,30*$AK$13+IF(J24&gt;60,30*$AK$14+IF(J24&gt;120,60*$AK$15,(J24-60)*$AK$15),(J24-30)*$AK$14),J24*$AK$13)+$AK$17*K24+L24*$AK$18)</f>
        <v>1551875.0730599998</v>
      </c>
      <c r="N24" s="221" t="s">
        <v>39</v>
      </c>
      <c r="O24" s="258">
        <f t="shared" si="10"/>
        <v>1551875.0730599998</v>
      </c>
      <c r="P24" s="258">
        <f t="shared" si="5"/>
        <v>1163906.3047949998</v>
      </c>
      <c r="Q24" s="258">
        <f t="shared" si="6"/>
        <v>1990068.2170199996</v>
      </c>
      <c r="R24" s="258">
        <f t="shared" si="7"/>
        <v>1490068.2170199996</v>
      </c>
      <c r="S24" s="258">
        <f t="shared" si="9"/>
        <v>1490068.2170199996</v>
      </c>
      <c r="T24" s="221"/>
      <c r="U24" s="259">
        <v>10</v>
      </c>
      <c r="V24" s="296" t="s">
        <v>291</v>
      </c>
      <c r="W24" s="219" t="s">
        <v>291</v>
      </c>
      <c r="X24" t="s">
        <v>291</v>
      </c>
      <c r="Z24" s="22" t="str">
        <f>C24&amp;A24</f>
        <v>10A1</v>
      </c>
      <c r="AA24" s="23">
        <v>10</v>
      </c>
      <c r="AB24" s="118">
        <v>5.01</v>
      </c>
      <c r="AC24" s="26"/>
      <c r="AE24" s="153"/>
      <c r="AF24" s="153"/>
    </row>
    <row r="25" spans="1:37" ht="15.75" customHeight="1" x14ac:dyDescent="0.25">
      <c r="A25" s="247" t="s">
        <v>34</v>
      </c>
      <c r="B25" s="221">
        <v>30</v>
      </c>
      <c r="C25" s="248">
        <v>11</v>
      </c>
      <c r="D25" s="221" t="s">
        <v>47</v>
      </c>
      <c r="E25" s="221">
        <v>1</v>
      </c>
      <c r="F25" s="221">
        <v>3</v>
      </c>
      <c r="G25" s="249">
        <v>79.8</v>
      </c>
      <c r="H25" s="159">
        <f t="shared" si="8"/>
        <v>90</v>
      </c>
      <c r="I25" s="249">
        <f t="shared" si="4"/>
        <v>79.8</v>
      </c>
      <c r="J25" s="221">
        <v>23.21</v>
      </c>
      <c r="K25" s="248">
        <f>AB25</f>
        <v>5.82</v>
      </c>
      <c r="L25" s="221">
        <v>1</v>
      </c>
      <c r="M25" s="258">
        <f>$K$6*(I25*$AK$12+IF(J25&gt;30,30*$AK$13+IF(J25&gt;60,30*$AK$14+IF(J25&gt;120,60*$AK$15,(J25-60)*$AK$15),(J25-30)*$AK$14),J25*$AK$13)+$AK$17*K25+L25*$AK$18)</f>
        <v>1639282.7163799996</v>
      </c>
      <c r="N25" s="221" t="s">
        <v>39</v>
      </c>
      <c r="O25" s="258">
        <f t="shared" si="10"/>
        <v>1639282.7163799996</v>
      </c>
      <c r="P25" s="258">
        <f t="shared" si="5"/>
        <v>1229462.0372849996</v>
      </c>
      <c r="Q25" s="258">
        <f t="shared" si="6"/>
        <v>2102156.6034599994</v>
      </c>
      <c r="R25" s="258">
        <f t="shared" si="7"/>
        <v>1602156.6034599994</v>
      </c>
      <c r="S25" s="258">
        <f t="shared" si="9"/>
        <v>1602156.6034599994</v>
      </c>
      <c r="T25" s="221"/>
      <c r="U25" s="259">
        <v>11</v>
      </c>
      <c r="V25" s="296" t="s">
        <v>291</v>
      </c>
      <c r="W25" s="219" t="s">
        <v>291</v>
      </c>
      <c r="X25" t="s">
        <v>291</v>
      </c>
      <c r="Z25" s="22" t="str">
        <f>C25&amp;A25</f>
        <v>11A1</v>
      </c>
      <c r="AA25" s="23">
        <v>11</v>
      </c>
      <c r="AB25" s="117">
        <v>5.82</v>
      </c>
      <c r="AC25" s="26"/>
      <c r="AE25" s="153"/>
      <c r="AF25" s="153"/>
    </row>
    <row r="26" spans="1:37" ht="15.75" customHeight="1" x14ac:dyDescent="0.25">
      <c r="A26" s="247" t="s">
        <v>34</v>
      </c>
      <c r="B26" s="221">
        <v>30</v>
      </c>
      <c r="C26" s="248">
        <v>12</v>
      </c>
      <c r="D26" s="221" t="s">
        <v>48</v>
      </c>
      <c r="E26" s="221">
        <v>1</v>
      </c>
      <c r="F26" s="221">
        <v>3</v>
      </c>
      <c r="G26" s="249">
        <v>79.62</v>
      </c>
      <c r="H26" s="159">
        <f t="shared" si="8"/>
        <v>90</v>
      </c>
      <c r="I26" s="249">
        <f t="shared" si="4"/>
        <v>79.62</v>
      </c>
      <c r="J26" s="221">
        <v>23.21</v>
      </c>
      <c r="K26" s="248">
        <f>AB26</f>
        <v>7.99</v>
      </c>
      <c r="L26" s="221">
        <v>1</v>
      </c>
      <c r="M26" s="258">
        <f>$K$6*(I26*$AK$12+IF(J26&gt;30,30*$AK$13+IF(J26&gt;60,30*$AK$14+IF(J26&gt;120,60*$AK$15,(J26-60)*$AK$15),(J26-30)*$AK$14),J26*$AK$13)+$AK$17*K26+L26*$AK$18)</f>
        <v>1647813.3836000001</v>
      </c>
      <c r="N26" s="221" t="s">
        <v>39</v>
      </c>
      <c r="O26" s="258">
        <f t="shared" si="10"/>
        <v>1647813.3836000001</v>
      </c>
      <c r="P26" s="258">
        <f t="shared" si="5"/>
        <v>1235860.0377</v>
      </c>
      <c r="Q26" s="258">
        <f t="shared" si="6"/>
        <v>2113096.0211999998</v>
      </c>
      <c r="R26" s="258">
        <f t="shared" si="7"/>
        <v>1613096.0211999998</v>
      </c>
      <c r="S26" s="258">
        <f t="shared" si="9"/>
        <v>1613096.0211999998</v>
      </c>
      <c r="T26" s="221"/>
      <c r="U26" s="259">
        <v>12</v>
      </c>
      <c r="V26" s="296" t="s">
        <v>291</v>
      </c>
      <c r="W26" s="219" t="s">
        <v>291</v>
      </c>
      <c r="X26" t="s">
        <v>291</v>
      </c>
      <c r="Z26" s="22" t="str">
        <f>C26&amp;A26</f>
        <v>12A1</v>
      </c>
      <c r="AA26" s="23">
        <v>12</v>
      </c>
      <c r="AB26" s="117">
        <v>7.99</v>
      </c>
      <c r="AC26" s="26"/>
      <c r="AE26" s="153"/>
      <c r="AF26" s="153"/>
    </row>
    <row r="27" spans="1:37" ht="15.75" customHeight="1" x14ac:dyDescent="0.25">
      <c r="A27" s="247" t="s">
        <v>34</v>
      </c>
      <c r="B27" s="221">
        <v>30</v>
      </c>
      <c r="C27" s="248">
        <v>13</v>
      </c>
      <c r="D27" s="221" t="s">
        <v>49</v>
      </c>
      <c r="E27" s="221">
        <v>1</v>
      </c>
      <c r="F27" s="221">
        <v>3</v>
      </c>
      <c r="G27" s="249">
        <v>78.69</v>
      </c>
      <c r="H27" s="159">
        <f t="shared" si="8"/>
        <v>90</v>
      </c>
      <c r="I27" s="249">
        <f t="shared" si="4"/>
        <v>78.69</v>
      </c>
      <c r="J27" s="221">
        <v>26.4</v>
      </c>
      <c r="K27" s="260">
        <f>AB27</f>
        <v>8.42</v>
      </c>
      <c r="L27" s="221">
        <v>1</v>
      </c>
      <c r="M27" s="258">
        <f>$K$6*(I27*$AK$12+IF(J27&gt;30,30*$AK$13+IF(J27&gt;60,30*$AK$14+IF(J27&gt;120,60*$AK$15,(J27-60)*$AK$15),(J27-30)*$AK$14),J27*$AK$13)+$AK$17*K27+L27*$AK$18)</f>
        <v>1650638.8275199998</v>
      </c>
      <c r="N27" s="221" t="s">
        <v>39</v>
      </c>
      <c r="O27" s="258">
        <f t="shared" si="10"/>
        <v>1650638.8275199998</v>
      </c>
      <c r="P27" s="258">
        <f t="shared" si="5"/>
        <v>1237979.1206399999</v>
      </c>
      <c r="Q27" s="258">
        <f t="shared" si="6"/>
        <v>2116719.2678399999</v>
      </c>
      <c r="R27" s="258">
        <f t="shared" si="7"/>
        <v>1616719.2678399999</v>
      </c>
      <c r="S27" s="258">
        <f t="shared" si="9"/>
        <v>1616719.2678399999</v>
      </c>
      <c r="T27" s="221"/>
      <c r="U27" s="259">
        <v>13</v>
      </c>
      <c r="V27" s="296" t="s">
        <v>291</v>
      </c>
      <c r="W27" s="219" t="s">
        <v>291</v>
      </c>
      <c r="X27" t="s">
        <v>291</v>
      </c>
      <c r="Z27" s="22" t="str">
        <f>C27&amp;A27</f>
        <v>13A1</v>
      </c>
      <c r="AA27" s="23">
        <v>13</v>
      </c>
      <c r="AB27" s="117">
        <v>8.42</v>
      </c>
      <c r="AC27" s="26"/>
      <c r="AE27" s="153"/>
      <c r="AF27" s="153"/>
    </row>
    <row r="28" spans="1:37" ht="15.75" customHeight="1" x14ac:dyDescent="0.25">
      <c r="A28" s="247" t="s">
        <v>34</v>
      </c>
      <c r="B28" s="221">
        <v>30</v>
      </c>
      <c r="C28" s="248">
        <v>14</v>
      </c>
      <c r="D28" s="221" t="s">
        <v>50</v>
      </c>
      <c r="E28" s="221">
        <v>1</v>
      </c>
      <c r="F28" s="221">
        <v>3</v>
      </c>
      <c r="G28" s="249">
        <v>79.430000000000007</v>
      </c>
      <c r="H28" s="159">
        <f t="shared" si="8"/>
        <v>90</v>
      </c>
      <c r="I28" s="249">
        <f t="shared" si="4"/>
        <v>79.430000000000007</v>
      </c>
      <c r="J28" s="221">
        <v>29.74</v>
      </c>
      <c r="K28" s="248">
        <f>AB28</f>
        <v>4.9000000000000004</v>
      </c>
      <c r="L28" s="221">
        <v>1</v>
      </c>
      <c r="M28" s="258">
        <f>$K$6*(I28*$AK$12+IF(J28&gt;30,30*$AK$13+IF(J28&gt;60,30*$AK$14+IF(J28&gt;120,60*$AK$15,(J28-60)*$AK$15),(J28-30)*$AK$14),J28*$AK$13)+$AK$17*K28+L28*$AK$18)</f>
        <v>1663063.5360399999</v>
      </c>
      <c r="N28" s="221" t="s">
        <v>39</v>
      </c>
      <c r="O28" s="258">
        <f t="shared" si="10"/>
        <v>1663063.5360399999</v>
      </c>
      <c r="P28" s="258">
        <f t="shared" si="5"/>
        <v>1247297.65203</v>
      </c>
      <c r="Q28" s="258">
        <f t="shared" si="6"/>
        <v>2132652.2626800002</v>
      </c>
      <c r="R28" s="258">
        <f t="shared" si="7"/>
        <v>1632652.2626800002</v>
      </c>
      <c r="S28" s="258">
        <f t="shared" si="9"/>
        <v>1632652.2626800002</v>
      </c>
      <c r="T28" s="221"/>
      <c r="U28" s="259">
        <v>14</v>
      </c>
      <c r="V28" s="296" t="s">
        <v>291</v>
      </c>
      <c r="W28" s="219" t="s">
        <v>291</v>
      </c>
      <c r="X28" t="s">
        <v>291</v>
      </c>
      <c r="Z28" s="22" t="str">
        <f>C28&amp;A28</f>
        <v>14A1</v>
      </c>
      <c r="AA28" s="23">
        <v>14</v>
      </c>
      <c r="AB28" s="117">
        <v>4.9000000000000004</v>
      </c>
      <c r="AC28" s="26"/>
      <c r="AE28" s="153"/>
      <c r="AF28" s="153"/>
    </row>
    <row r="29" spans="1:37" ht="15.75" customHeight="1" x14ac:dyDescent="0.25">
      <c r="A29" s="247" t="s">
        <v>34</v>
      </c>
      <c r="B29" s="221">
        <v>30</v>
      </c>
      <c r="C29" s="248">
        <v>15</v>
      </c>
      <c r="D29" s="221" t="s">
        <v>51</v>
      </c>
      <c r="E29" s="221">
        <v>2</v>
      </c>
      <c r="F29" s="221">
        <v>3</v>
      </c>
      <c r="G29" s="249">
        <v>79.8</v>
      </c>
      <c r="H29" s="159">
        <f t="shared" si="8"/>
        <v>90</v>
      </c>
      <c r="I29" s="249">
        <f t="shared" si="4"/>
        <v>79.8</v>
      </c>
      <c r="J29" s="221">
        <v>15.97</v>
      </c>
      <c r="K29" s="248">
        <f>AB29</f>
        <v>4.9400000000000004</v>
      </c>
      <c r="L29" s="221">
        <v>1</v>
      </c>
      <c r="M29" s="258">
        <f>$K$6*(I29*$AK$12+IF(J29&gt;30,30*$AK$13+IF(J29&gt;60,30*$AK$14+IF(J29&gt;120,60*$AK$15,(J29-60)*$AK$15),(J29-30)*$AK$14),J29*$AK$13)+$AK$17*K29+L29*$AK$18)</f>
        <v>1595162.32286</v>
      </c>
      <c r="N29" s="221" t="s">
        <v>39</v>
      </c>
      <c r="O29" s="258">
        <f t="shared" si="10"/>
        <v>1595162.32286</v>
      </c>
      <c r="P29" s="258">
        <f t="shared" si="5"/>
        <v>1196371.742145</v>
      </c>
      <c r="Q29" s="258">
        <f t="shared" si="6"/>
        <v>2045578.2136199998</v>
      </c>
      <c r="R29" s="258">
        <f t="shared" si="7"/>
        <v>1545578.2136199998</v>
      </c>
      <c r="S29" s="258">
        <f t="shared" si="9"/>
        <v>1545578.2136199998</v>
      </c>
      <c r="T29" s="221"/>
      <c r="U29" s="259">
        <v>15</v>
      </c>
      <c r="V29" s="296" t="s">
        <v>291</v>
      </c>
      <c r="W29" s="219" t="s">
        <v>291</v>
      </c>
      <c r="X29" t="s">
        <v>291</v>
      </c>
      <c r="Z29" s="22" t="str">
        <f>C29&amp;A29</f>
        <v>15A1</v>
      </c>
      <c r="AA29" s="23">
        <v>15</v>
      </c>
      <c r="AB29" s="117">
        <v>4.9400000000000004</v>
      </c>
      <c r="AC29" s="26"/>
      <c r="AE29" s="153"/>
      <c r="AF29" s="153"/>
    </row>
    <row r="30" spans="1:37" ht="15.75" customHeight="1" x14ac:dyDescent="0.25">
      <c r="A30" s="247" t="s">
        <v>34</v>
      </c>
      <c r="B30" s="221">
        <v>30</v>
      </c>
      <c r="C30" s="248">
        <v>16</v>
      </c>
      <c r="D30" s="221" t="s">
        <v>52</v>
      </c>
      <c r="E30" s="221">
        <v>2</v>
      </c>
      <c r="F30" s="221">
        <v>3</v>
      </c>
      <c r="G30" s="249">
        <v>79.62</v>
      </c>
      <c r="H30" s="159">
        <f t="shared" si="8"/>
        <v>90</v>
      </c>
      <c r="I30" s="249">
        <f t="shared" si="4"/>
        <v>79.62</v>
      </c>
      <c r="J30" s="221">
        <v>15.97</v>
      </c>
      <c r="K30" s="260">
        <f>AB30</f>
        <v>4.9400000000000004</v>
      </c>
      <c r="L30" s="221">
        <v>1</v>
      </c>
      <c r="M30" s="258">
        <f>$K$6*(I30*$AK$12+IF(J30&gt;30,30*$AK$13+IF(J30&gt;60,30*$AK$14+IF(J30&gt;120,60*$AK$15,(J30-60)*$AK$15),(J30-30)*$AK$14),J30*$AK$13)+$AK$17*K30+L30*$AK$18)</f>
        <v>1591902.1952599999</v>
      </c>
      <c r="N30" s="221" t="s">
        <v>39</v>
      </c>
      <c r="O30" s="258">
        <f t="shared" si="10"/>
        <v>1591902.1952599999</v>
      </c>
      <c r="P30" s="258">
        <f t="shared" si="5"/>
        <v>1193926.6464450001</v>
      </c>
      <c r="Q30" s="258">
        <f t="shared" si="6"/>
        <v>2041397.5444199999</v>
      </c>
      <c r="R30" s="258">
        <f t="shared" si="7"/>
        <v>1541397.5444199999</v>
      </c>
      <c r="S30" s="258">
        <f t="shared" si="9"/>
        <v>1541397.5444199999</v>
      </c>
      <c r="T30" s="221"/>
      <c r="U30" s="259">
        <v>16</v>
      </c>
      <c r="V30" s="296" t="s">
        <v>291</v>
      </c>
      <c r="W30" s="219" t="s">
        <v>291</v>
      </c>
      <c r="X30" t="s">
        <v>291</v>
      </c>
      <c r="Z30" s="22" t="str">
        <f>C30&amp;A30</f>
        <v>16A1</v>
      </c>
      <c r="AA30" s="23">
        <v>16</v>
      </c>
      <c r="AB30" s="117">
        <v>4.9400000000000004</v>
      </c>
      <c r="AC30" s="26"/>
      <c r="AE30" s="153"/>
      <c r="AF30" s="153"/>
    </row>
    <row r="31" spans="1:37" ht="15.75" customHeight="1" x14ac:dyDescent="0.25">
      <c r="A31" s="247" t="s">
        <v>34</v>
      </c>
      <c r="B31" s="221">
        <v>30</v>
      </c>
      <c r="C31" s="248">
        <v>17</v>
      </c>
      <c r="D31" s="221" t="s">
        <v>53</v>
      </c>
      <c r="E31" s="221">
        <v>2</v>
      </c>
      <c r="F31" s="221">
        <v>3</v>
      </c>
      <c r="G31" s="249">
        <v>78.69</v>
      </c>
      <c r="H31" s="159">
        <f t="shared" si="8"/>
        <v>90</v>
      </c>
      <c r="I31" s="249">
        <f t="shared" si="4"/>
        <v>78.69</v>
      </c>
      <c r="J31" s="221">
        <v>18.18</v>
      </c>
      <c r="K31" s="248">
        <f>AB31</f>
        <v>4.9400000000000004</v>
      </c>
      <c r="L31" s="221">
        <v>1</v>
      </c>
      <c r="M31" s="258">
        <f>$K$6*(I31*$AK$12+IF(J31&gt;30,30*$AK$13+IF(J31&gt;60,30*$AK$14+IF(J31&gt;120,60*$AK$15,(J31-60)*$AK$15),(J31-30)*$AK$14),J31*$AK$13)+$AK$17*K31+L31*$AK$18)</f>
        <v>1587066.3393199998</v>
      </c>
      <c r="N31" s="221" t="s">
        <v>39</v>
      </c>
      <c r="O31" s="258">
        <f t="shared" si="10"/>
        <v>1587066.3393199998</v>
      </c>
      <c r="P31" s="258">
        <f t="shared" si="5"/>
        <v>1190299.7544899997</v>
      </c>
      <c r="Q31" s="258">
        <f t="shared" si="6"/>
        <v>2035196.2184399997</v>
      </c>
      <c r="R31" s="258">
        <f t="shared" si="7"/>
        <v>1535196.2184399997</v>
      </c>
      <c r="S31" s="258">
        <f t="shared" si="9"/>
        <v>1535196.2184399997</v>
      </c>
      <c r="T31" s="221"/>
      <c r="U31" s="259">
        <v>17</v>
      </c>
      <c r="V31" s="296" t="s">
        <v>291</v>
      </c>
      <c r="W31" s="219" t="s">
        <v>291</v>
      </c>
      <c r="X31" t="s">
        <v>291</v>
      </c>
      <c r="Z31" s="22" t="str">
        <f>C31&amp;A31</f>
        <v>17A1</v>
      </c>
      <c r="AA31" s="23">
        <v>17</v>
      </c>
      <c r="AB31" s="117">
        <v>4.9400000000000004</v>
      </c>
      <c r="AC31" s="26"/>
      <c r="AE31" s="153"/>
      <c r="AF31" s="153"/>
    </row>
    <row r="32" spans="1:37" ht="15.75" customHeight="1" x14ac:dyDescent="0.25">
      <c r="A32" s="247" t="s">
        <v>34</v>
      </c>
      <c r="B32" s="221">
        <v>30</v>
      </c>
      <c r="C32" s="248">
        <v>18</v>
      </c>
      <c r="D32" s="221" t="s">
        <v>54</v>
      </c>
      <c r="E32" s="221">
        <v>2</v>
      </c>
      <c r="F32" s="221">
        <v>3</v>
      </c>
      <c r="G32" s="249">
        <v>79.430000000000007</v>
      </c>
      <c r="H32" s="159">
        <f t="shared" si="8"/>
        <v>90</v>
      </c>
      <c r="I32" s="249">
        <f t="shared" si="4"/>
        <v>79.430000000000007</v>
      </c>
      <c r="J32" s="221">
        <v>18.18</v>
      </c>
      <c r="K32" s="248">
        <f>AB32</f>
        <v>5.49</v>
      </c>
      <c r="L32" s="221">
        <v>1</v>
      </c>
      <c r="M32" s="258">
        <f>$K$6*(I32*$AK$12+IF(J32&gt;30,30*$AK$13+IF(J32&gt;60,30*$AK$14+IF(J32&gt;120,60*$AK$15,(J32-60)*$AK$15),(J32-30)*$AK$14),J32*$AK$13)+$AK$17*K32+L32*$AK$18)</f>
        <v>1603457.53642</v>
      </c>
      <c r="N32" s="221" t="s">
        <v>39</v>
      </c>
      <c r="O32" s="258">
        <f t="shared" si="10"/>
        <v>1603457.53642</v>
      </c>
      <c r="P32" s="258">
        <f t="shared" si="5"/>
        <v>1202593.1523150001</v>
      </c>
      <c r="Q32" s="258">
        <f t="shared" si="6"/>
        <v>2056215.69414</v>
      </c>
      <c r="R32" s="258">
        <f t="shared" si="7"/>
        <v>1556215.69414</v>
      </c>
      <c r="S32" s="258">
        <f t="shared" si="9"/>
        <v>1556215.69414</v>
      </c>
      <c r="T32" s="221"/>
      <c r="U32" s="259">
        <v>18</v>
      </c>
      <c r="V32" s="296" t="s">
        <v>291</v>
      </c>
      <c r="W32" s="219" t="s">
        <v>291</v>
      </c>
      <c r="X32" t="s">
        <v>291</v>
      </c>
      <c r="Z32" s="22" t="str">
        <f>C32&amp;A32</f>
        <v>18A1</v>
      </c>
      <c r="AA32" s="23">
        <v>18</v>
      </c>
      <c r="AB32" s="117">
        <v>5.49</v>
      </c>
      <c r="AC32" s="26"/>
      <c r="AE32" s="153"/>
      <c r="AF32" s="153"/>
    </row>
    <row r="33" spans="1:1847" ht="15.75" customHeight="1" x14ac:dyDescent="0.25">
      <c r="A33" s="247" t="s">
        <v>34</v>
      </c>
      <c r="B33" s="221">
        <v>30</v>
      </c>
      <c r="C33" s="248">
        <v>19</v>
      </c>
      <c r="D33" s="221" t="s">
        <v>55</v>
      </c>
      <c r="E33" s="221">
        <v>3</v>
      </c>
      <c r="F33" s="221">
        <v>3</v>
      </c>
      <c r="G33" s="249">
        <v>79.8</v>
      </c>
      <c r="H33" s="159">
        <f t="shared" si="8"/>
        <v>90</v>
      </c>
      <c r="I33" s="249">
        <f t="shared" si="4"/>
        <v>79.8</v>
      </c>
      <c r="J33" s="221">
        <v>15.37</v>
      </c>
      <c r="K33" s="260">
        <f>AB33</f>
        <v>5.66</v>
      </c>
      <c r="L33" s="221">
        <v>1</v>
      </c>
      <c r="M33" s="258">
        <f>$K$6*(I33*$AK$12+IF(J33&gt;30,30*$AK$13+IF(J33&gt;60,30*$AK$14+IF(J33&gt;120,60*$AK$15,(J33-60)*$AK$15),(J33-30)*$AK$14),J33*$AK$13)+$AK$17*K33+L33*$AK$18)</f>
        <v>1595814.3483799999</v>
      </c>
      <c r="N33" s="221" t="s">
        <v>39</v>
      </c>
      <c r="O33" s="258">
        <f t="shared" si="10"/>
        <v>1595814.3483799999</v>
      </c>
      <c r="P33" s="258">
        <f t="shared" si="5"/>
        <v>1196860.761285</v>
      </c>
      <c r="Q33" s="258">
        <f t="shared" si="6"/>
        <v>2046414.3474599998</v>
      </c>
      <c r="R33" s="258">
        <f t="shared" si="7"/>
        <v>1546414.3474599998</v>
      </c>
      <c r="S33" s="258">
        <f t="shared" si="9"/>
        <v>1546414.3474599998</v>
      </c>
      <c r="T33" s="221"/>
      <c r="U33" s="259">
        <v>19</v>
      </c>
      <c r="V33" s="296" t="s">
        <v>291</v>
      </c>
      <c r="W33" s="219" t="s">
        <v>291</v>
      </c>
      <c r="X33" t="s">
        <v>291</v>
      </c>
      <c r="Z33" s="22" t="str">
        <f>C33&amp;A33</f>
        <v>19A1</v>
      </c>
      <c r="AA33" s="23">
        <v>19</v>
      </c>
      <c r="AB33" s="117">
        <v>5.66</v>
      </c>
      <c r="AC33" s="26"/>
      <c r="AE33" s="153"/>
      <c r="AF33" s="153"/>
    </row>
    <row r="34" spans="1:1847" ht="15.75" customHeight="1" x14ac:dyDescent="0.25">
      <c r="A34" s="247" t="s">
        <v>34</v>
      </c>
      <c r="B34" s="221">
        <v>30</v>
      </c>
      <c r="C34" s="248">
        <v>20</v>
      </c>
      <c r="D34" s="221" t="s">
        <v>56</v>
      </c>
      <c r="E34" s="221">
        <v>3</v>
      </c>
      <c r="F34" s="221">
        <v>3</v>
      </c>
      <c r="G34" s="249">
        <v>79.62</v>
      </c>
      <c r="H34" s="159">
        <f t="shared" si="8"/>
        <v>90</v>
      </c>
      <c r="I34" s="249">
        <f t="shared" si="4"/>
        <v>79.62</v>
      </c>
      <c r="J34" s="221">
        <v>15.37</v>
      </c>
      <c r="K34" s="248">
        <f>AB34</f>
        <v>8.4600000000000009</v>
      </c>
      <c r="L34" s="221">
        <v>1</v>
      </c>
      <c r="M34" s="258">
        <f>$K$6*(I34*$AK$12+IF(J34&gt;30,30*$AK$13+IF(J34&gt;60,30*$AK$14+IF(J34&gt;120,60*$AK$15,(J34-60)*$AK$15),(J34-30)*$AK$14),J34*$AK$13)+$AK$17*K34+L34*$AK$18)</f>
        <v>1607768.14958</v>
      </c>
      <c r="N34" s="221" t="s">
        <v>39</v>
      </c>
      <c r="O34" s="258">
        <f t="shared" si="10"/>
        <v>1607768.14958</v>
      </c>
      <c r="P34" s="258">
        <f t="shared" si="5"/>
        <v>1205826.112185</v>
      </c>
      <c r="Q34" s="258">
        <f t="shared" si="6"/>
        <v>2061743.46786</v>
      </c>
      <c r="R34" s="258">
        <f t="shared" si="7"/>
        <v>1561743.46786</v>
      </c>
      <c r="S34" s="258">
        <f t="shared" si="9"/>
        <v>1561743.46786</v>
      </c>
      <c r="T34" s="221"/>
      <c r="U34" s="259">
        <v>20</v>
      </c>
      <c r="V34" s="296" t="s">
        <v>291</v>
      </c>
      <c r="W34" s="219" t="s">
        <v>291</v>
      </c>
      <c r="X34" t="s">
        <v>291</v>
      </c>
      <c r="Z34" s="22" t="str">
        <f>C34&amp;A34</f>
        <v>20A1</v>
      </c>
      <c r="AA34" s="23">
        <v>20</v>
      </c>
      <c r="AB34" s="117">
        <v>8.4600000000000009</v>
      </c>
      <c r="AC34" s="26"/>
      <c r="AE34" s="153"/>
      <c r="AF34" s="153"/>
    </row>
    <row r="35" spans="1:1847" ht="15.75" customHeight="1" x14ac:dyDescent="0.25">
      <c r="A35" s="247" t="s">
        <v>34</v>
      </c>
      <c r="B35" s="221">
        <v>30</v>
      </c>
      <c r="C35" s="248">
        <v>21</v>
      </c>
      <c r="D35" s="221" t="s">
        <v>57</v>
      </c>
      <c r="E35" s="221">
        <v>3</v>
      </c>
      <c r="F35" s="221">
        <v>3</v>
      </c>
      <c r="G35" s="249">
        <v>78.69</v>
      </c>
      <c r="H35" s="159">
        <f t="shared" si="8"/>
        <v>90</v>
      </c>
      <c r="I35" s="249">
        <f t="shared" si="4"/>
        <v>78.69</v>
      </c>
      <c r="J35" s="221">
        <v>18.96</v>
      </c>
      <c r="K35" s="248">
        <f>AB35</f>
        <v>6.04</v>
      </c>
      <c r="L35" s="221">
        <v>1</v>
      </c>
      <c r="M35" s="258">
        <f>$K$6*(I35*$AK$12+IF(J35&gt;30,30*$AK$13+IF(J35&gt;60,30*$AK$14+IF(J35&gt;120,60*$AK$15,(J35-60)*$AK$15),(J35-30)*$AK$14),J35*$AK$13)+$AK$17*K35+L35*$AK$18)</f>
        <v>1597281.4057999998</v>
      </c>
      <c r="N35" s="221" t="s">
        <v>39</v>
      </c>
      <c r="O35" s="258">
        <f t="shared" si="10"/>
        <v>1597281.4057999998</v>
      </c>
      <c r="P35" s="258">
        <f t="shared" si="5"/>
        <v>1197961.0543499999</v>
      </c>
      <c r="Q35" s="258">
        <f t="shared" si="6"/>
        <v>2048295.6485999997</v>
      </c>
      <c r="R35" s="258">
        <f t="shared" si="7"/>
        <v>1548295.6485999997</v>
      </c>
      <c r="S35" s="258">
        <f t="shared" si="9"/>
        <v>1548295.6485999997</v>
      </c>
      <c r="T35" s="221"/>
      <c r="U35" s="259">
        <v>21</v>
      </c>
      <c r="V35" s="296" t="s">
        <v>291</v>
      </c>
      <c r="W35" s="219" t="s">
        <v>291</v>
      </c>
      <c r="X35" t="s">
        <v>291</v>
      </c>
      <c r="Z35" s="22" t="str">
        <f>C35&amp;A35</f>
        <v>21A1</v>
      </c>
      <c r="AA35" s="23">
        <v>21</v>
      </c>
      <c r="AB35" s="117">
        <v>6.04</v>
      </c>
      <c r="AC35" s="26"/>
      <c r="AE35" s="153"/>
      <c r="AF35" s="153"/>
    </row>
    <row r="36" spans="1:1847" ht="15.75" customHeight="1" x14ac:dyDescent="0.35">
      <c r="A36" s="247" t="s">
        <v>34</v>
      </c>
      <c r="B36" s="221">
        <v>30</v>
      </c>
      <c r="C36" s="248">
        <v>22</v>
      </c>
      <c r="D36" s="221" t="s">
        <v>58</v>
      </c>
      <c r="E36" s="221">
        <v>3</v>
      </c>
      <c r="F36" s="221">
        <v>3</v>
      </c>
      <c r="G36" s="249">
        <v>79.430000000000007</v>
      </c>
      <c r="H36" s="159">
        <f t="shared" si="8"/>
        <v>90</v>
      </c>
      <c r="I36" s="249">
        <f t="shared" si="4"/>
        <v>79.430000000000007</v>
      </c>
      <c r="J36" s="221">
        <v>18.96</v>
      </c>
      <c r="K36" s="248">
        <f>AB36</f>
        <v>5.22</v>
      </c>
      <c r="L36" s="221">
        <v>1</v>
      </c>
      <c r="M36" s="258">
        <f>$K$6*(I36*$AK$12+IF(J36&gt;30,30*$AK$13+IF(J36&gt;60,30*$AK$14+IF(J36&gt;120,60*$AK$15,(J36-60)*$AK$15),(J36-30)*$AK$14),J36*$AK$13)+$AK$17*K36+L36*$AK$18)</f>
        <v>1606228.6448800003</v>
      </c>
      <c r="N36" s="221" t="s">
        <v>39</v>
      </c>
      <c r="O36" s="258">
        <f t="shared" si="10"/>
        <v>1606228.6448800003</v>
      </c>
      <c r="P36" s="258">
        <f t="shared" si="5"/>
        <v>1204671.4836600001</v>
      </c>
      <c r="Q36" s="258">
        <f t="shared" si="6"/>
        <v>2059769.2629600002</v>
      </c>
      <c r="R36" s="258">
        <f t="shared" si="7"/>
        <v>1559769.2629600002</v>
      </c>
      <c r="S36" s="258">
        <f t="shared" si="9"/>
        <v>1559769.2629600002</v>
      </c>
      <c r="T36" s="221"/>
      <c r="U36" s="259">
        <v>22</v>
      </c>
      <c r="V36" s="296" t="s">
        <v>291</v>
      </c>
      <c r="W36" s="219" t="s">
        <v>291</v>
      </c>
      <c r="X36" t="s">
        <v>291</v>
      </c>
      <c r="Z36" s="22" t="str">
        <f>C36&amp;A36</f>
        <v>22A1</v>
      </c>
      <c r="AA36" s="23">
        <v>22</v>
      </c>
      <c r="AB36" s="117">
        <v>5.22</v>
      </c>
      <c r="AC36" s="26"/>
      <c r="AE36" s="153"/>
      <c r="AF36" s="153"/>
      <c r="AS36" s="8" t="s">
        <v>11</v>
      </c>
    </row>
    <row r="37" spans="1:1847" ht="15.75" customHeight="1" x14ac:dyDescent="0.25">
      <c r="A37" s="247" t="s">
        <v>34</v>
      </c>
      <c r="B37" s="221">
        <v>30</v>
      </c>
      <c r="C37" s="248">
        <v>23</v>
      </c>
      <c r="D37" s="221" t="s">
        <v>59</v>
      </c>
      <c r="E37" s="221">
        <v>4</v>
      </c>
      <c r="F37" s="221">
        <v>3</v>
      </c>
      <c r="G37" s="249">
        <v>79.8</v>
      </c>
      <c r="H37" s="159">
        <f t="shared" si="8"/>
        <v>90</v>
      </c>
      <c r="I37" s="249">
        <f t="shared" si="4"/>
        <v>79.8</v>
      </c>
      <c r="J37" s="221">
        <v>7.95</v>
      </c>
      <c r="K37" s="260">
        <f>AB37</f>
        <v>5.47</v>
      </c>
      <c r="L37" s="221">
        <v>1</v>
      </c>
      <c r="M37" s="258">
        <f>$K$6*(I37*$AK$12+IF(J37&gt;30,30*$AK$13+IF(J37&gt;60,30*$AK$14+IF(J37&gt;120,60*$AK$15,(J37-60)*$AK$15),(J37-30)*$AK$14),J37*$AK$13)+$AK$17*K37+L37*$AK$18)</f>
        <v>1554465.0633200002</v>
      </c>
      <c r="N37" s="221" t="s">
        <v>39</v>
      </c>
      <c r="O37" s="258">
        <f t="shared" si="10"/>
        <v>1554465.0633200002</v>
      </c>
      <c r="P37" s="258">
        <f t="shared" si="5"/>
        <v>1165848.7974900003</v>
      </c>
      <c r="Q37" s="258">
        <f t="shared" si="6"/>
        <v>1993389.5264400002</v>
      </c>
      <c r="R37" s="258">
        <f t="shared" si="7"/>
        <v>1493389.5264400002</v>
      </c>
      <c r="S37" s="258">
        <f t="shared" si="9"/>
        <v>1493389.5264400002</v>
      </c>
      <c r="T37" s="221"/>
      <c r="U37" s="259">
        <v>23</v>
      </c>
      <c r="V37" s="296" t="s">
        <v>291</v>
      </c>
      <c r="W37" s="219" t="s">
        <v>291</v>
      </c>
      <c r="X37" t="s">
        <v>291</v>
      </c>
      <c r="Z37" s="22" t="str">
        <f>C37&amp;A37</f>
        <v>23A1</v>
      </c>
      <c r="AA37" s="23">
        <v>23</v>
      </c>
      <c r="AB37" s="117">
        <v>5.47</v>
      </c>
      <c r="AC37" s="26"/>
      <c r="AE37" s="153"/>
      <c r="AF37" s="153"/>
    </row>
    <row r="38" spans="1:1847" ht="15.75" customHeight="1" x14ac:dyDescent="0.25">
      <c r="A38" s="247" t="s">
        <v>34</v>
      </c>
      <c r="B38" s="221">
        <v>30</v>
      </c>
      <c r="C38" s="248">
        <v>24</v>
      </c>
      <c r="D38" s="221" t="s">
        <v>60</v>
      </c>
      <c r="E38" s="221">
        <v>4</v>
      </c>
      <c r="F38" s="221">
        <v>3</v>
      </c>
      <c r="G38" s="249">
        <v>79.62</v>
      </c>
      <c r="H38" s="159">
        <f t="shared" si="8"/>
        <v>90</v>
      </c>
      <c r="I38" s="249">
        <f t="shared" si="4"/>
        <v>79.62</v>
      </c>
      <c r="J38" s="221">
        <v>7.95</v>
      </c>
      <c r="K38" s="248">
        <f>AB38</f>
        <v>5.71</v>
      </c>
      <c r="L38" s="221">
        <v>1</v>
      </c>
      <c r="M38" s="258">
        <f>$K$6*(I38*$AK$12+IF(J38&gt;30,30*$AK$13+IF(J38&gt;60,30*$AK$14+IF(J38&gt;120,60*$AK$15,(J38-60)*$AK$15),(J38-30)*$AK$14),J38*$AK$13)+$AK$17*K38+L38*$AK$18)</f>
        <v>1552508.98676</v>
      </c>
      <c r="N38" s="221" t="s">
        <v>39</v>
      </c>
      <c r="O38" s="258">
        <f t="shared" si="10"/>
        <v>1552508.98676</v>
      </c>
      <c r="P38" s="258">
        <f t="shared" si="5"/>
        <v>1164381.7400700001</v>
      </c>
      <c r="Q38" s="258">
        <f t="shared" si="6"/>
        <v>1990881.1249199999</v>
      </c>
      <c r="R38" s="258">
        <f t="shared" si="7"/>
        <v>1490881.1249199999</v>
      </c>
      <c r="S38" s="258">
        <f t="shared" si="9"/>
        <v>1490881.1249199999</v>
      </c>
      <c r="T38" s="221"/>
      <c r="U38" s="259">
        <v>24</v>
      </c>
      <c r="V38" s="296" t="s">
        <v>291</v>
      </c>
      <c r="W38" s="219" t="s">
        <v>291</v>
      </c>
      <c r="X38" t="s">
        <v>291</v>
      </c>
      <c r="Z38" s="22" t="str">
        <f>C38&amp;A38</f>
        <v>24A1</v>
      </c>
      <c r="AA38" s="23">
        <v>24</v>
      </c>
      <c r="AB38" s="117">
        <v>5.71</v>
      </c>
      <c r="AC38" s="26"/>
      <c r="AE38" s="153"/>
      <c r="AF38" s="153"/>
    </row>
    <row r="39" spans="1:1847" ht="15.75" customHeight="1" x14ac:dyDescent="0.25">
      <c r="A39" s="247" t="s">
        <v>34</v>
      </c>
      <c r="B39" s="221">
        <v>30</v>
      </c>
      <c r="C39" s="248">
        <v>25</v>
      </c>
      <c r="D39" s="221" t="s">
        <v>61</v>
      </c>
      <c r="E39" s="221">
        <v>4</v>
      </c>
      <c r="F39" s="221">
        <v>3</v>
      </c>
      <c r="G39" s="249">
        <v>78.69</v>
      </c>
      <c r="H39" s="159">
        <f t="shared" si="8"/>
        <v>90</v>
      </c>
      <c r="I39" s="249">
        <f t="shared" si="4"/>
        <v>78.69</v>
      </c>
      <c r="J39" s="221">
        <v>11.7</v>
      </c>
      <c r="K39" s="248">
        <f>AB39</f>
        <v>6.5</v>
      </c>
      <c r="L39" s="221">
        <v>1</v>
      </c>
      <c r="M39" s="258">
        <f>$K$6*(I39*$AK$12+IF(J39&gt;30,30*$AK$13+IF(J39&gt;60,30*$AK$14+IF(J39&gt;120,60*$AK$15,(J39-60)*$AK$15),(J39-30)*$AK$14),J39*$AK$13)+$AK$17*K39+L39*$AK$18)</f>
        <v>1560333.2930000001</v>
      </c>
      <c r="N39" s="221" t="s">
        <v>39</v>
      </c>
      <c r="O39" s="258">
        <f t="shared" si="10"/>
        <v>1560333.2930000001</v>
      </c>
      <c r="P39" s="258">
        <f t="shared" si="5"/>
        <v>1170249.9697500002</v>
      </c>
      <c r="Q39" s="258">
        <f t="shared" si="6"/>
        <v>2000914.7309999999</v>
      </c>
      <c r="R39" s="258">
        <f t="shared" si="7"/>
        <v>1500914.7309999999</v>
      </c>
      <c r="S39" s="258">
        <f t="shared" si="9"/>
        <v>1500914.7309999999</v>
      </c>
      <c r="T39" s="221"/>
      <c r="U39" s="259">
        <v>25</v>
      </c>
      <c r="V39" s="296" t="s">
        <v>291</v>
      </c>
      <c r="W39" s="219" t="s">
        <v>291</v>
      </c>
      <c r="X39" t="s">
        <v>291</v>
      </c>
      <c r="Z39" s="22" t="str">
        <f>C39&amp;A39</f>
        <v>25A1</v>
      </c>
      <c r="AA39" s="23">
        <v>25</v>
      </c>
      <c r="AB39" s="210">
        <v>6.5</v>
      </c>
      <c r="AC39" s="26"/>
      <c r="AE39" s="153"/>
      <c r="AF39" s="153"/>
    </row>
    <row r="40" spans="1:1847" ht="15.75" customHeight="1" x14ac:dyDescent="0.25">
      <c r="A40" s="247" t="s">
        <v>34</v>
      </c>
      <c r="B40" s="221">
        <v>30</v>
      </c>
      <c r="C40" s="248">
        <v>26</v>
      </c>
      <c r="D40" s="221" t="s">
        <v>62</v>
      </c>
      <c r="E40" s="221">
        <v>4</v>
      </c>
      <c r="F40" s="221">
        <v>3</v>
      </c>
      <c r="G40" s="249">
        <v>79.430000000000007</v>
      </c>
      <c r="H40" s="159">
        <f t="shared" si="8"/>
        <v>90</v>
      </c>
      <c r="I40" s="249">
        <f t="shared" si="4"/>
        <v>79.430000000000007</v>
      </c>
      <c r="J40" s="221">
        <v>11.7</v>
      </c>
      <c r="K40" s="260">
        <f>AB40</f>
        <v>7.97</v>
      </c>
      <c r="L40" s="221">
        <v>1</v>
      </c>
      <c r="M40" s="258">
        <f>$K$6*(I40*$AK$12+IF(J40&gt;30,30*$AK$13+IF(J40&gt;60,30*$AK$14+IF(J40&gt;120,60*$AK$15,(J40-60)*$AK$15),(J40-30)*$AK$14),J40*$AK$13)+$AK$17*K40+L40*$AK$18)</f>
        <v>1581723.3524200004</v>
      </c>
      <c r="N40" s="221" t="s">
        <v>39</v>
      </c>
      <c r="O40" s="258">
        <f t="shared" si="10"/>
        <v>1581723.3524200004</v>
      </c>
      <c r="P40" s="258">
        <f t="shared" si="5"/>
        <v>1186292.5143150003</v>
      </c>
      <c r="Q40" s="258">
        <f t="shared" si="6"/>
        <v>2028344.5661400002</v>
      </c>
      <c r="R40" s="258">
        <f t="shared" si="7"/>
        <v>1528344.5661400002</v>
      </c>
      <c r="S40" s="258">
        <f t="shared" si="9"/>
        <v>1528344.5661400002</v>
      </c>
      <c r="T40" s="221"/>
      <c r="U40" s="259">
        <v>26</v>
      </c>
      <c r="V40" s="296" t="s">
        <v>291</v>
      </c>
      <c r="W40" s="219" t="s">
        <v>291</v>
      </c>
      <c r="X40" t="s">
        <v>291</v>
      </c>
      <c r="Z40" s="22" t="str">
        <f>C40&amp;A40</f>
        <v>26A1</v>
      </c>
      <c r="AA40" s="23">
        <v>26</v>
      </c>
      <c r="AB40" s="210">
        <v>7.97</v>
      </c>
      <c r="AC40" s="26"/>
      <c r="AE40" s="153"/>
      <c r="AF40" s="153"/>
    </row>
    <row r="41" spans="1:1847" ht="15.75" customHeight="1" x14ac:dyDescent="0.25">
      <c r="A41" s="247" t="s">
        <v>34</v>
      </c>
      <c r="B41" s="221">
        <v>30</v>
      </c>
      <c r="C41" s="248">
        <v>27</v>
      </c>
      <c r="D41" s="221" t="s">
        <v>63</v>
      </c>
      <c r="E41" s="221">
        <v>5</v>
      </c>
      <c r="F41" s="221">
        <v>5</v>
      </c>
      <c r="G41" s="249">
        <v>148.41</v>
      </c>
      <c r="H41" s="159">
        <f t="shared" si="8"/>
        <v>125</v>
      </c>
      <c r="I41" s="249">
        <f t="shared" si="4"/>
        <v>144.89849999999998</v>
      </c>
      <c r="J41" s="221">
        <v>21.6</v>
      </c>
      <c r="K41" s="248">
        <f>AB41</f>
        <v>7.96</v>
      </c>
      <c r="L41" s="221">
        <v>1</v>
      </c>
      <c r="M41" s="258">
        <f>$K$6*(I41*$AK$12+IF(J41&gt;30,30*$AK$13+IF(J41&gt;60,30*$AK$14+IF(J41&gt;120,60*$AK$15,(J41-60)*$AK$15),(J41-30)*$AK$14),J41*$AK$13)+$AK$17*K41+L41*$AK$18)</f>
        <v>2821214.8100299994</v>
      </c>
      <c r="N41" s="221" t="s">
        <v>36</v>
      </c>
      <c r="O41" s="258">
        <f t="shared" si="10"/>
        <v>2821214.8100299994</v>
      </c>
      <c r="P41" s="258">
        <f t="shared" si="5"/>
        <v>2115911.1075224997</v>
      </c>
      <c r="Q41" s="258">
        <f t="shared" si="6"/>
        <v>3617823.3830099995</v>
      </c>
      <c r="R41" s="258">
        <f t="shared" si="7"/>
        <v>3117823.3830099995</v>
      </c>
      <c r="S41" s="258"/>
      <c r="T41" s="221"/>
      <c r="U41" s="259">
        <v>27</v>
      </c>
      <c r="V41" s="113"/>
      <c r="Z41" s="22" t="str">
        <f>C41&amp;A41</f>
        <v>27A1</v>
      </c>
      <c r="AA41" s="23">
        <v>27</v>
      </c>
      <c r="AB41" s="117">
        <v>7.96</v>
      </c>
      <c r="AC41" s="26"/>
      <c r="AE41" s="153"/>
      <c r="AF41" s="153"/>
    </row>
    <row r="42" spans="1:1847" ht="15.75" customHeight="1" thickBot="1" x14ac:dyDescent="0.3">
      <c r="A42" s="250" t="s">
        <v>34</v>
      </c>
      <c r="B42" s="251">
        <v>30</v>
      </c>
      <c r="C42" s="252">
        <v>28</v>
      </c>
      <c r="D42" s="251" t="s">
        <v>64</v>
      </c>
      <c r="E42" s="251">
        <v>5</v>
      </c>
      <c r="F42" s="251">
        <v>5</v>
      </c>
      <c r="G42" s="253">
        <v>131.61000000000001</v>
      </c>
      <c r="H42" s="164">
        <f t="shared" si="8"/>
        <v>125</v>
      </c>
      <c r="I42" s="253">
        <f t="shared" si="4"/>
        <v>130.61850000000001</v>
      </c>
      <c r="J42" s="251">
        <v>50.13</v>
      </c>
      <c r="K42" s="252">
        <f>AB42</f>
        <v>7.96</v>
      </c>
      <c r="L42" s="251">
        <v>1</v>
      </c>
      <c r="M42" s="261">
        <f>$K$6*(I42*$AK$12+IF(J42&gt;30,30*$AK$13+IF(J42&gt;60,30*$AK$14+IF(J42&gt;120,60*$AK$15,(J42-60)*$AK$15),(J42-30)*$AK$14),J42*$AK$13)+$AK$17*K42+L42*$AK$18)</f>
        <v>2681137.9941500006</v>
      </c>
      <c r="N42" s="251" t="s">
        <v>39</v>
      </c>
      <c r="O42" s="261">
        <f t="shared" si="10"/>
        <v>2681137.9941500006</v>
      </c>
      <c r="P42" s="261">
        <f t="shared" si="5"/>
        <v>2010853.4956125005</v>
      </c>
      <c r="Q42" s="261">
        <f t="shared" si="6"/>
        <v>3438193.9630500004</v>
      </c>
      <c r="R42" s="261">
        <f t="shared" si="7"/>
        <v>2938193.9630500004</v>
      </c>
      <c r="S42" s="261">
        <f t="shared" si="9"/>
        <v>2681137.9941500006</v>
      </c>
      <c r="T42" s="251"/>
      <c r="U42" s="262">
        <v>28</v>
      </c>
      <c r="V42" s="113" t="s">
        <v>291</v>
      </c>
      <c r="W42" t="s">
        <v>291</v>
      </c>
      <c r="X42" t="s">
        <v>291</v>
      </c>
      <c r="Z42" s="22" t="str">
        <f>C42&amp;A42</f>
        <v>28A1</v>
      </c>
      <c r="AA42" s="28">
        <v>28</v>
      </c>
      <c r="AB42" s="119">
        <v>7.96</v>
      </c>
      <c r="AC42" s="29"/>
      <c r="AE42" s="153"/>
      <c r="AF42" s="153"/>
    </row>
    <row r="43" spans="1:1847" ht="15.75" customHeight="1" thickBot="1" x14ac:dyDescent="0.3">
      <c r="A43" s="231" t="s">
        <v>65</v>
      </c>
      <c r="B43" s="319"/>
      <c r="C43" s="319"/>
      <c r="D43" s="319"/>
      <c r="E43" s="319"/>
      <c r="F43" s="322"/>
      <c r="G43" s="165">
        <f>SUMIF(N15:N42,"כן",G15:G42)/COUNTIF(N15:N42,"כן")</f>
        <v>87.904814814814813</v>
      </c>
      <c r="H43" s="165" t="e">
        <f t="shared" si="8"/>
        <v>#N/A</v>
      </c>
      <c r="I43" s="165"/>
      <c r="J43" s="166"/>
      <c r="K43" s="320" t="s">
        <v>66</v>
      </c>
      <c r="L43" s="227"/>
      <c r="M43" s="321"/>
      <c r="N43" s="167">
        <f>COUNTIF(N15:N42,"כן")/COUNT(C15:C42)</f>
        <v>0.9642857142857143</v>
      </c>
      <c r="O43" s="167"/>
      <c r="P43" s="167"/>
      <c r="Q43" s="167"/>
      <c r="R43" s="167"/>
      <c r="S43" s="167"/>
      <c r="T43" s="166"/>
      <c r="U43" s="168"/>
      <c r="V43" s="113"/>
      <c r="AE43" s="153"/>
      <c r="AF43" s="153"/>
      <c r="AR43" s="6"/>
    </row>
    <row r="44" spans="1:1847" ht="15.75" customHeight="1" x14ac:dyDescent="0.25">
      <c r="A44" s="243" t="s">
        <v>67</v>
      </c>
      <c r="B44" s="244">
        <v>30</v>
      </c>
      <c r="C44" s="245">
        <v>1</v>
      </c>
      <c r="D44" s="244" t="s">
        <v>68</v>
      </c>
      <c r="E44" s="244">
        <v>-4</v>
      </c>
      <c r="F44" s="244">
        <v>4</v>
      </c>
      <c r="G44" s="244">
        <v>109.2</v>
      </c>
      <c r="H44" s="162">
        <f t="shared" si="8"/>
        <v>110</v>
      </c>
      <c r="I44" s="244">
        <f t="shared" ref="I44:I71" si="11">IF(G44&gt;H44,(G44-H44)*$AL$12+H44,G44)</f>
        <v>109.2</v>
      </c>
      <c r="J44" s="246">
        <f>83.2+5.42</f>
        <v>88.62</v>
      </c>
      <c r="K44" s="255">
        <f>AB44</f>
        <v>9.17</v>
      </c>
      <c r="L44" s="244">
        <v>1</v>
      </c>
      <c r="M44" s="256">
        <f>$K$6*(I44*$AK$12+IF(J44&gt;30,30*$AK$13+IF(J44&gt;60,30*$AK$14+IF(J44&gt;120,60*$AK$15,(J44-60)*$AK$15),(J44-30)*$AK$14),J44*$AK$13)+$AK$17*K44+L44*$AK$18)</f>
        <v>2387373.3296600003</v>
      </c>
      <c r="N44" s="244" t="s">
        <v>39</v>
      </c>
      <c r="O44" s="256">
        <f>M44</f>
        <v>2387373.3296600003</v>
      </c>
      <c r="P44" s="256">
        <f t="shared" ref="P44:P71" si="12">O44*(1-$AK$19)</f>
        <v>1790529.9972450002</v>
      </c>
      <c r="Q44" s="256">
        <f t="shared" ref="Q44:Q71" si="13">$AK$22*(I44*$AK$12+IF(J44&gt;30,30*$AK$13+IF(J44&gt;60,30*$AK$14+IF(J44&gt;120,60*$AK$15,(J44-60)*$AK$15),(J44-30)*$AK$14),J44*$AK$13)+$AK$17*K44+L44*$AK$18)</f>
        <v>3061480.8292200002</v>
      </c>
      <c r="R44" s="256">
        <f t="shared" ref="R44:R71" si="14">Q44-$AK$20</f>
        <v>2561480.8292200002</v>
      </c>
      <c r="S44" s="256">
        <f t="shared" si="9"/>
        <v>2387373.3296600003</v>
      </c>
      <c r="T44" s="244"/>
      <c r="U44" s="263">
        <v>1</v>
      </c>
      <c r="V44" s="113" t="s">
        <v>291</v>
      </c>
      <c r="W44" t="s">
        <v>291</v>
      </c>
      <c r="X44" t="s">
        <v>291</v>
      </c>
      <c r="Z44" s="30" t="str">
        <f>C44&amp;A44</f>
        <v>1A2</v>
      </c>
      <c r="AA44" s="31">
        <v>1</v>
      </c>
      <c r="AB44" s="120">
        <v>9.17</v>
      </c>
      <c r="AC44" s="32"/>
      <c r="AE44" s="153"/>
      <c r="AF44" s="153"/>
      <c r="AG44" s="153"/>
    </row>
    <row r="45" spans="1:1847" ht="15.75" customHeight="1" x14ac:dyDescent="0.25">
      <c r="A45" s="247" t="s">
        <v>67</v>
      </c>
      <c r="B45" s="221">
        <v>30</v>
      </c>
      <c r="C45" s="248">
        <v>2</v>
      </c>
      <c r="D45" s="221" t="s">
        <v>69</v>
      </c>
      <c r="E45" s="221">
        <v>-4</v>
      </c>
      <c r="F45" s="221">
        <v>4</v>
      </c>
      <c r="G45" s="221">
        <v>109.2</v>
      </c>
      <c r="H45" s="158">
        <f t="shared" si="8"/>
        <v>110</v>
      </c>
      <c r="I45" s="221">
        <f t="shared" si="11"/>
        <v>109.2</v>
      </c>
      <c r="J45" s="249">
        <f>85.5+5.4</f>
        <v>90.9</v>
      </c>
      <c r="K45" s="248">
        <f>AB45</f>
        <v>6.01</v>
      </c>
      <c r="L45" s="221">
        <v>1</v>
      </c>
      <c r="M45" s="258">
        <f>$K$6*(I45*$AK$12+IF(J45&gt;30,30*$AK$13+IF(J45&gt;60,30*$AK$14+IF(J45&gt;120,60*$AK$15,(J45-60)*$AK$15),(J45-30)*$AK$14),J45*$AK$13)+$AK$17*K45+L45*$AK$18)</f>
        <v>2374332.8192600003</v>
      </c>
      <c r="N45" s="221" t="s">
        <v>39</v>
      </c>
      <c r="O45" s="258">
        <f t="shared" ref="O45:O71" si="15">M45</f>
        <v>2374332.8192600003</v>
      </c>
      <c r="P45" s="258">
        <f t="shared" si="12"/>
        <v>1780749.6144450002</v>
      </c>
      <c r="Q45" s="258">
        <f t="shared" si="13"/>
        <v>3044758.1524200002</v>
      </c>
      <c r="R45" s="258">
        <f t="shared" si="14"/>
        <v>2544758.1524200002</v>
      </c>
      <c r="S45" s="258">
        <f t="shared" si="9"/>
        <v>2374332.8192600003</v>
      </c>
      <c r="T45" s="221"/>
      <c r="U45" s="264">
        <v>2</v>
      </c>
      <c r="V45" s="113" t="s">
        <v>291</v>
      </c>
      <c r="W45" t="s">
        <v>291</v>
      </c>
      <c r="X45" t="s">
        <v>291</v>
      </c>
      <c r="Z45" s="22" t="str">
        <f>C45&amp;A45</f>
        <v>2A2</v>
      </c>
      <c r="AA45" s="23">
        <v>2</v>
      </c>
      <c r="AB45" s="117">
        <v>6.01</v>
      </c>
      <c r="AC45" s="25"/>
      <c r="AD45" s="21"/>
      <c r="AE45" s="153"/>
      <c r="AF45" s="153"/>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c r="IW45" s="21"/>
      <c r="IX45" s="21"/>
      <c r="IY45" s="21"/>
      <c r="IZ45" s="21"/>
      <c r="JA45" s="21"/>
      <c r="JB45" s="21"/>
      <c r="JC45" s="21"/>
      <c r="JD45" s="21"/>
      <c r="JE45" s="21"/>
      <c r="JF45" s="21"/>
      <c r="JG45" s="21"/>
      <c r="JH45" s="21"/>
      <c r="JI45" s="21"/>
      <c r="JJ45" s="21"/>
      <c r="JK45" s="21"/>
      <c r="JL45" s="21"/>
      <c r="JM45" s="21"/>
      <c r="JN45" s="21"/>
      <c r="JO45" s="21"/>
      <c r="JP45" s="21"/>
      <c r="JQ45" s="21"/>
      <c r="JR45" s="21"/>
      <c r="JS45" s="21"/>
      <c r="JT45" s="21"/>
      <c r="JU45" s="21"/>
      <c r="JV45" s="21"/>
      <c r="JW45" s="21"/>
      <c r="JX45" s="21"/>
      <c r="JY45" s="21"/>
      <c r="JZ45" s="21"/>
      <c r="KA45" s="21"/>
      <c r="KB45" s="21"/>
      <c r="KC45" s="21"/>
      <c r="KD45" s="21"/>
      <c r="KE45" s="21"/>
      <c r="KF45" s="21"/>
      <c r="KG45" s="21"/>
      <c r="KH45" s="21"/>
      <c r="KI45" s="21"/>
      <c r="KJ45" s="21"/>
      <c r="KK45" s="21"/>
      <c r="KL45" s="21"/>
      <c r="KM45" s="21"/>
      <c r="KN45" s="21"/>
      <c r="KO45" s="21"/>
      <c r="KP45" s="21"/>
      <c r="KQ45" s="21"/>
      <c r="KR45" s="21"/>
      <c r="KS45" s="21"/>
      <c r="KT45" s="21"/>
      <c r="KU45" s="21"/>
      <c r="KV45" s="21"/>
      <c r="KW45" s="21"/>
      <c r="KX45" s="21"/>
      <c r="KY45" s="21"/>
      <c r="KZ45" s="21"/>
      <c r="LA45" s="21"/>
      <c r="LB45" s="21"/>
      <c r="LC45" s="21"/>
      <c r="LD45" s="21"/>
      <c r="LE45" s="21"/>
      <c r="LF45" s="21"/>
      <c r="LG45" s="21"/>
      <c r="LH45" s="21"/>
      <c r="LI45" s="21"/>
      <c r="LJ45" s="21"/>
      <c r="LK45" s="21"/>
      <c r="LL45" s="21"/>
      <c r="LM45" s="21"/>
      <c r="LN45" s="21"/>
      <c r="LO45" s="21"/>
      <c r="LP45" s="21"/>
      <c r="LQ45" s="21"/>
      <c r="LR45" s="21"/>
      <c r="LS45" s="21"/>
      <c r="LT45" s="21"/>
      <c r="LU45" s="21"/>
      <c r="LV45" s="21"/>
      <c r="LW45" s="21"/>
      <c r="LX45" s="21"/>
      <c r="LY45" s="21"/>
      <c r="LZ45" s="21"/>
      <c r="MA45" s="21"/>
      <c r="MB45" s="21"/>
      <c r="MC45" s="21"/>
      <c r="MD45" s="21"/>
      <c r="ME45" s="21"/>
      <c r="MF45" s="21"/>
      <c r="MG45" s="21"/>
      <c r="MH45" s="21"/>
      <c r="MI45" s="21"/>
      <c r="MJ45" s="21"/>
      <c r="MK45" s="21"/>
      <c r="ML45" s="21"/>
      <c r="MM45" s="21"/>
      <c r="MN45" s="21"/>
      <c r="MO45" s="21"/>
      <c r="MP45" s="21"/>
      <c r="MQ45" s="21"/>
      <c r="MR45" s="21"/>
      <c r="MS45" s="21"/>
      <c r="MT45" s="21"/>
      <c r="MU45" s="21"/>
      <c r="MV45" s="21"/>
      <c r="MW45" s="21"/>
      <c r="MX45" s="21"/>
      <c r="MY45" s="21"/>
      <c r="MZ45" s="21"/>
      <c r="NA45" s="21"/>
      <c r="NB45" s="21"/>
      <c r="NC45" s="21"/>
      <c r="ND45" s="21"/>
      <c r="NE45" s="21"/>
      <c r="NF45" s="21"/>
      <c r="NG45" s="21"/>
      <c r="NH45" s="21"/>
      <c r="NI45" s="21"/>
      <c r="NJ45" s="21"/>
      <c r="NK45" s="21"/>
      <c r="NL45" s="21"/>
      <c r="NM45" s="21"/>
      <c r="NN45" s="21"/>
      <c r="NO45" s="21"/>
      <c r="NP45" s="21"/>
      <c r="NQ45" s="21"/>
      <c r="NR45" s="21"/>
      <c r="NS45" s="21"/>
      <c r="NT45" s="21"/>
      <c r="NU45" s="21"/>
      <c r="NV45" s="21"/>
      <c r="NW45" s="21"/>
      <c r="NX45" s="21"/>
      <c r="NY45" s="21"/>
      <c r="NZ45" s="21"/>
      <c r="OA45" s="21"/>
      <c r="OB45" s="21"/>
      <c r="OC45" s="21"/>
      <c r="OD45" s="21"/>
      <c r="OE45" s="21"/>
      <c r="OF45" s="21"/>
      <c r="OG45" s="21"/>
      <c r="OH45" s="21"/>
      <c r="OI45" s="21"/>
      <c r="OJ45" s="21"/>
      <c r="OK45" s="21"/>
      <c r="OL45" s="21"/>
      <c r="OM45" s="21"/>
      <c r="ON45" s="21"/>
      <c r="OO45" s="21"/>
      <c r="OP45" s="21"/>
      <c r="OQ45" s="21"/>
      <c r="OR45" s="21"/>
      <c r="OS45" s="21"/>
      <c r="OT45" s="21"/>
      <c r="OU45" s="21"/>
      <c r="OV45" s="21"/>
      <c r="OW45" s="21"/>
      <c r="OX45" s="21"/>
      <c r="OY45" s="21"/>
      <c r="OZ45" s="21"/>
      <c r="PA45" s="21"/>
      <c r="PB45" s="21"/>
      <c r="PC45" s="21"/>
      <c r="PD45" s="21"/>
      <c r="PE45" s="21"/>
      <c r="PF45" s="21"/>
      <c r="PG45" s="21"/>
      <c r="PH45" s="21"/>
      <c r="PI45" s="21"/>
      <c r="PJ45" s="21"/>
      <c r="PK45" s="21"/>
      <c r="PL45" s="21"/>
      <c r="PM45" s="21"/>
      <c r="PN45" s="21"/>
      <c r="PO45" s="21"/>
      <c r="PP45" s="21"/>
      <c r="PQ45" s="21"/>
      <c r="PR45" s="21"/>
      <c r="PS45" s="21"/>
      <c r="PT45" s="21"/>
      <c r="PU45" s="21"/>
      <c r="PV45" s="21"/>
      <c r="PW45" s="21"/>
      <c r="PX45" s="21"/>
      <c r="PY45" s="21"/>
      <c r="PZ45" s="21"/>
      <c r="QA45" s="21"/>
      <c r="QB45" s="21"/>
      <c r="QC45" s="21"/>
      <c r="QD45" s="21"/>
      <c r="QE45" s="21"/>
      <c r="QF45" s="21"/>
      <c r="QG45" s="21"/>
      <c r="QH45" s="21"/>
      <c r="QI45" s="21"/>
      <c r="QJ45" s="21"/>
      <c r="QK45" s="21"/>
      <c r="QL45" s="21"/>
      <c r="QM45" s="21"/>
      <c r="QN45" s="21"/>
      <c r="QO45" s="21"/>
      <c r="QP45" s="21"/>
      <c r="QQ45" s="21"/>
      <c r="QR45" s="21"/>
      <c r="QS45" s="21"/>
      <c r="QT45" s="21"/>
      <c r="QU45" s="21"/>
      <c r="QV45" s="21"/>
      <c r="QW45" s="21"/>
      <c r="QX45" s="21"/>
      <c r="QY45" s="21"/>
      <c r="QZ45" s="21"/>
      <c r="RA45" s="21"/>
      <c r="RB45" s="21"/>
      <c r="RC45" s="21"/>
      <c r="RD45" s="21"/>
      <c r="RE45" s="21"/>
      <c r="RF45" s="21"/>
      <c r="RG45" s="21"/>
      <c r="RH45" s="21"/>
      <c r="RI45" s="21"/>
      <c r="RJ45" s="21"/>
      <c r="RK45" s="21"/>
      <c r="RL45" s="21"/>
      <c r="RM45" s="21"/>
      <c r="RN45" s="21"/>
      <c r="RO45" s="21"/>
      <c r="RP45" s="21"/>
      <c r="RQ45" s="21"/>
      <c r="RR45" s="21"/>
      <c r="RS45" s="21"/>
      <c r="RT45" s="21"/>
      <c r="RU45" s="21"/>
      <c r="RV45" s="21"/>
      <c r="RW45" s="21"/>
      <c r="RX45" s="21"/>
      <c r="RY45" s="21"/>
      <c r="RZ45" s="21"/>
      <c r="SA45" s="21"/>
      <c r="SB45" s="21"/>
      <c r="SC45" s="21"/>
      <c r="SD45" s="21"/>
      <c r="SE45" s="21"/>
      <c r="SF45" s="21"/>
      <c r="SG45" s="21"/>
      <c r="SH45" s="21"/>
      <c r="SI45" s="21"/>
      <c r="SJ45" s="21"/>
      <c r="SK45" s="21"/>
      <c r="SL45" s="21"/>
      <c r="SM45" s="21"/>
      <c r="SN45" s="21"/>
      <c r="SO45" s="21"/>
      <c r="SP45" s="21"/>
      <c r="SQ45" s="21"/>
      <c r="SR45" s="21"/>
      <c r="SS45" s="21"/>
      <c r="ST45" s="21"/>
      <c r="SU45" s="21"/>
      <c r="SV45" s="21"/>
      <c r="SW45" s="21"/>
      <c r="SX45" s="21"/>
      <c r="SY45" s="21"/>
      <c r="SZ45" s="21"/>
      <c r="TA45" s="21"/>
      <c r="TB45" s="21"/>
      <c r="TC45" s="21"/>
      <c r="TD45" s="21"/>
      <c r="TE45" s="21"/>
      <c r="TF45" s="21"/>
      <c r="TG45" s="21"/>
      <c r="TH45" s="21"/>
      <c r="TI45" s="21"/>
      <c r="TJ45" s="21"/>
      <c r="TK45" s="21"/>
      <c r="TL45" s="21"/>
      <c r="TM45" s="21"/>
      <c r="TN45" s="21"/>
      <c r="TO45" s="21"/>
      <c r="TP45" s="21"/>
      <c r="TQ45" s="21"/>
      <c r="TR45" s="21"/>
      <c r="TS45" s="21"/>
      <c r="TT45" s="21"/>
      <c r="TU45" s="21"/>
      <c r="TV45" s="21"/>
      <c r="TW45" s="21"/>
      <c r="TX45" s="21"/>
      <c r="TY45" s="21"/>
      <c r="TZ45" s="21"/>
      <c r="UA45" s="21"/>
      <c r="UB45" s="21"/>
      <c r="UC45" s="21"/>
      <c r="UD45" s="21"/>
      <c r="UE45" s="21"/>
      <c r="UF45" s="21"/>
      <c r="UG45" s="21"/>
      <c r="UH45" s="21"/>
      <c r="UI45" s="21"/>
      <c r="UJ45" s="21"/>
      <c r="UK45" s="21"/>
      <c r="UL45" s="21"/>
      <c r="UM45" s="21"/>
      <c r="UN45" s="21"/>
      <c r="UO45" s="21"/>
      <c r="UP45" s="21"/>
      <c r="UQ45" s="21"/>
      <c r="UR45" s="21"/>
      <c r="US45" s="21"/>
      <c r="UT45" s="21"/>
      <c r="UU45" s="21"/>
      <c r="UV45" s="21"/>
      <c r="UW45" s="21"/>
      <c r="UX45" s="21"/>
      <c r="UY45" s="21"/>
      <c r="UZ45" s="21"/>
      <c r="VA45" s="21"/>
      <c r="VB45" s="21"/>
      <c r="VC45" s="21"/>
      <c r="VD45" s="21"/>
      <c r="VE45" s="21"/>
      <c r="VF45" s="21"/>
      <c r="VG45" s="21"/>
      <c r="VH45" s="21"/>
      <c r="VI45" s="21"/>
      <c r="VJ45" s="21"/>
      <c r="VK45" s="21"/>
      <c r="VL45" s="21"/>
      <c r="VM45" s="21"/>
      <c r="VN45" s="21"/>
      <c r="VO45" s="21"/>
      <c r="VP45" s="21"/>
      <c r="VQ45" s="21"/>
      <c r="VR45" s="21"/>
      <c r="VS45" s="21"/>
      <c r="VT45" s="21"/>
      <c r="VU45" s="21"/>
      <c r="VV45" s="21"/>
      <c r="VW45" s="21"/>
      <c r="VX45" s="21"/>
      <c r="VY45" s="21"/>
      <c r="VZ45" s="21"/>
      <c r="WA45" s="21"/>
      <c r="WB45" s="21"/>
      <c r="WC45" s="21"/>
      <c r="WD45" s="21"/>
      <c r="WE45" s="21"/>
      <c r="WF45" s="21"/>
      <c r="WG45" s="21"/>
      <c r="WH45" s="21"/>
      <c r="WI45" s="21"/>
      <c r="WJ45" s="21"/>
      <c r="WK45" s="21"/>
      <c r="WL45" s="21"/>
      <c r="WM45" s="21"/>
      <c r="WN45" s="21"/>
      <c r="WO45" s="21"/>
      <c r="WP45" s="21"/>
      <c r="WQ45" s="21"/>
      <c r="WR45" s="21"/>
      <c r="WS45" s="21"/>
      <c r="WT45" s="21"/>
      <c r="WU45" s="21"/>
      <c r="WV45" s="21"/>
      <c r="WW45" s="21"/>
      <c r="WX45" s="21"/>
      <c r="WY45" s="21"/>
      <c r="WZ45" s="21"/>
      <c r="XA45" s="21"/>
      <c r="XB45" s="21"/>
      <c r="XC45" s="21"/>
      <c r="XD45" s="21"/>
      <c r="XE45" s="21"/>
      <c r="XF45" s="21"/>
      <c r="XG45" s="21"/>
      <c r="XH45" s="21"/>
      <c r="XI45" s="21"/>
      <c r="XJ45" s="21"/>
      <c r="XK45" s="21"/>
      <c r="XL45" s="21"/>
      <c r="XM45" s="21"/>
      <c r="XN45" s="21"/>
      <c r="XO45" s="21"/>
      <c r="XP45" s="21"/>
      <c r="XQ45" s="21"/>
      <c r="XR45" s="21"/>
      <c r="XS45" s="21"/>
      <c r="XT45" s="21"/>
      <c r="XU45" s="21"/>
      <c r="XV45" s="21"/>
      <c r="XW45" s="21"/>
      <c r="XX45" s="21"/>
      <c r="XY45" s="21"/>
      <c r="XZ45" s="21"/>
      <c r="YA45" s="21"/>
      <c r="YB45" s="21"/>
      <c r="YC45" s="21"/>
      <c r="YD45" s="21"/>
      <c r="YE45" s="21"/>
      <c r="YF45" s="21"/>
      <c r="YG45" s="21"/>
      <c r="YH45" s="21"/>
      <c r="YI45" s="21"/>
      <c r="YJ45" s="21"/>
      <c r="YK45" s="21"/>
      <c r="YL45" s="21"/>
      <c r="YM45" s="21"/>
      <c r="YN45" s="21"/>
      <c r="YO45" s="21"/>
      <c r="YP45" s="21"/>
      <c r="YQ45" s="21"/>
      <c r="YR45" s="21"/>
      <c r="YS45" s="21"/>
      <c r="YT45" s="21"/>
      <c r="YU45" s="21"/>
      <c r="YV45" s="21"/>
      <c r="YW45" s="21"/>
      <c r="YX45" s="21"/>
      <c r="YY45" s="21"/>
      <c r="YZ45" s="21"/>
      <c r="ZA45" s="21"/>
      <c r="ZB45" s="21"/>
      <c r="ZC45" s="21"/>
      <c r="ZD45" s="21"/>
      <c r="ZE45" s="21"/>
      <c r="ZF45" s="21"/>
      <c r="ZG45" s="21"/>
      <c r="ZH45" s="21"/>
      <c r="ZI45" s="21"/>
      <c r="ZJ45" s="21"/>
      <c r="ZK45" s="21"/>
      <c r="ZL45" s="21"/>
      <c r="ZM45" s="21"/>
      <c r="ZN45" s="21"/>
      <c r="ZO45" s="21"/>
      <c r="ZP45" s="21"/>
      <c r="ZQ45" s="21"/>
      <c r="ZR45" s="21"/>
      <c r="ZS45" s="21"/>
      <c r="ZT45" s="21"/>
      <c r="ZU45" s="21"/>
      <c r="ZV45" s="21"/>
      <c r="ZW45" s="21"/>
      <c r="ZX45" s="21"/>
      <c r="ZY45" s="21"/>
      <c r="ZZ45" s="21"/>
      <c r="AAA45" s="21"/>
      <c r="AAB45" s="21"/>
      <c r="AAC45" s="21"/>
      <c r="AAD45" s="21"/>
      <c r="AAE45" s="21"/>
      <c r="AAF45" s="21"/>
      <c r="AAG45" s="21"/>
      <c r="AAH45" s="21"/>
      <c r="AAI45" s="21"/>
      <c r="AAJ45" s="21"/>
      <c r="AAK45" s="21"/>
      <c r="AAL45" s="21"/>
      <c r="AAM45" s="21"/>
      <c r="AAN45" s="21"/>
      <c r="AAO45" s="21"/>
      <c r="AAP45" s="21"/>
      <c r="AAQ45" s="21"/>
      <c r="AAR45" s="21"/>
      <c r="AAS45" s="21"/>
      <c r="AAT45" s="21"/>
      <c r="AAU45" s="21"/>
      <c r="AAV45" s="21"/>
      <c r="AAW45" s="21"/>
      <c r="AAX45" s="21"/>
      <c r="AAY45" s="21"/>
      <c r="AAZ45" s="21"/>
      <c r="ABA45" s="21"/>
      <c r="ABB45" s="21"/>
      <c r="ABC45" s="21"/>
      <c r="ABD45" s="21"/>
      <c r="ABE45" s="21"/>
      <c r="ABF45" s="21"/>
      <c r="ABG45" s="21"/>
      <c r="ABH45" s="21"/>
      <c r="ABI45" s="21"/>
      <c r="ABJ45" s="21"/>
      <c r="ABK45" s="21"/>
      <c r="ABL45" s="21"/>
      <c r="ABM45" s="21"/>
      <c r="ABN45" s="21"/>
      <c r="ABO45" s="21"/>
      <c r="ABP45" s="21"/>
      <c r="ABQ45" s="21"/>
      <c r="ABR45" s="21"/>
      <c r="ABS45" s="21"/>
      <c r="ABT45" s="21"/>
      <c r="ABU45" s="21"/>
      <c r="ABV45" s="21"/>
      <c r="ABW45" s="21"/>
      <c r="ABX45" s="21"/>
      <c r="ABY45" s="21"/>
      <c r="ABZ45" s="21"/>
      <c r="ACA45" s="21"/>
      <c r="ACB45" s="21"/>
      <c r="ACC45" s="21"/>
      <c r="ACD45" s="21"/>
      <c r="ACE45" s="21"/>
      <c r="ACF45" s="21"/>
      <c r="ACG45" s="21"/>
      <c r="ACH45" s="21"/>
      <c r="ACI45" s="21"/>
      <c r="ACJ45" s="21"/>
      <c r="ACK45" s="21"/>
      <c r="ACL45" s="21"/>
      <c r="ACM45" s="21"/>
      <c r="ACN45" s="21"/>
      <c r="ACO45" s="21"/>
      <c r="ACP45" s="21"/>
      <c r="ACQ45" s="21"/>
      <c r="ACR45" s="21"/>
      <c r="ACS45" s="21"/>
      <c r="ACT45" s="21"/>
      <c r="ACU45" s="21"/>
      <c r="ACV45" s="21"/>
      <c r="ACW45" s="21"/>
      <c r="ACX45" s="21"/>
      <c r="ACY45" s="21"/>
      <c r="ACZ45" s="21"/>
      <c r="ADA45" s="21"/>
      <c r="ADB45" s="21"/>
      <c r="ADC45" s="21"/>
      <c r="ADD45" s="21"/>
      <c r="ADE45" s="21"/>
      <c r="ADF45" s="21"/>
      <c r="ADG45" s="21"/>
      <c r="ADH45" s="21"/>
      <c r="ADI45" s="21"/>
      <c r="ADJ45" s="21"/>
      <c r="ADK45" s="21"/>
      <c r="ADL45" s="21"/>
      <c r="ADM45" s="21"/>
      <c r="ADN45" s="21"/>
      <c r="ADO45" s="21"/>
      <c r="ADP45" s="21"/>
      <c r="ADQ45" s="21"/>
      <c r="ADR45" s="21"/>
      <c r="ADS45" s="21"/>
      <c r="ADT45" s="21"/>
      <c r="ADU45" s="21"/>
      <c r="ADV45" s="21"/>
      <c r="ADW45" s="21"/>
      <c r="ADX45" s="21"/>
      <c r="ADY45" s="21"/>
      <c r="ADZ45" s="21"/>
      <c r="AEA45" s="21"/>
      <c r="AEB45" s="21"/>
      <c r="AEC45" s="21"/>
      <c r="AED45" s="21"/>
      <c r="AEE45" s="21"/>
      <c r="AEF45" s="21"/>
      <c r="AEG45" s="21"/>
      <c r="AEH45" s="21"/>
      <c r="AEI45" s="21"/>
      <c r="AEJ45" s="21"/>
      <c r="AEK45" s="21"/>
      <c r="AEL45" s="21"/>
      <c r="AEM45" s="21"/>
      <c r="AEN45" s="21"/>
      <c r="AEO45" s="21"/>
      <c r="AEP45" s="21"/>
      <c r="AEQ45" s="21"/>
      <c r="AER45" s="21"/>
      <c r="AES45" s="21"/>
      <c r="AET45" s="21"/>
      <c r="AEU45" s="21"/>
      <c r="AEV45" s="21"/>
      <c r="AEW45" s="21"/>
      <c r="AEX45" s="21"/>
      <c r="AEY45" s="21"/>
      <c r="AEZ45" s="21"/>
      <c r="AFA45" s="21"/>
      <c r="AFB45" s="21"/>
      <c r="AFC45" s="21"/>
      <c r="AFD45" s="21"/>
      <c r="AFE45" s="21"/>
      <c r="AFF45" s="21"/>
      <c r="AFG45" s="21"/>
      <c r="AFH45" s="21"/>
      <c r="AFI45" s="21"/>
      <c r="AFJ45" s="21"/>
      <c r="AFK45" s="21"/>
      <c r="AFL45" s="21"/>
      <c r="AFM45" s="21"/>
      <c r="AFN45" s="21"/>
      <c r="AFO45" s="21"/>
      <c r="AFP45" s="21"/>
      <c r="AFQ45" s="21"/>
      <c r="AFR45" s="21"/>
      <c r="AFS45" s="21"/>
      <c r="AFT45" s="21"/>
      <c r="AFU45" s="21"/>
      <c r="AFV45" s="21"/>
      <c r="AFW45" s="21"/>
      <c r="AFX45" s="21"/>
      <c r="AFY45" s="21"/>
      <c r="AFZ45" s="21"/>
      <c r="AGA45" s="21"/>
      <c r="AGB45" s="21"/>
      <c r="AGC45" s="21"/>
      <c r="AGD45" s="21"/>
      <c r="AGE45" s="21"/>
      <c r="AGF45" s="21"/>
      <c r="AGG45" s="21"/>
      <c r="AGH45" s="21"/>
      <c r="AGI45" s="21"/>
      <c r="AGJ45" s="21"/>
      <c r="AGK45" s="21"/>
      <c r="AGL45" s="21"/>
      <c r="AGM45" s="21"/>
      <c r="AGN45" s="21"/>
      <c r="AGO45" s="21"/>
      <c r="AGP45" s="21"/>
      <c r="AGQ45" s="21"/>
      <c r="AGR45" s="21"/>
      <c r="AGS45" s="21"/>
      <c r="AGT45" s="21"/>
      <c r="AGU45" s="21"/>
      <c r="AGV45" s="21"/>
      <c r="AGW45" s="21"/>
      <c r="AGX45" s="21"/>
      <c r="AGY45" s="21"/>
      <c r="AGZ45" s="21"/>
      <c r="AHA45" s="21"/>
      <c r="AHB45" s="21"/>
      <c r="AHC45" s="21"/>
      <c r="AHD45" s="21"/>
      <c r="AHE45" s="21"/>
      <c r="AHF45" s="21"/>
      <c r="AHG45" s="21"/>
      <c r="AHH45" s="21"/>
      <c r="AHI45" s="21"/>
      <c r="AHJ45" s="21"/>
      <c r="AHK45" s="21"/>
      <c r="AHL45" s="21"/>
      <c r="AHM45" s="21"/>
      <c r="AHN45" s="21"/>
      <c r="AHO45" s="21"/>
      <c r="AHP45" s="21"/>
      <c r="AHQ45" s="21"/>
      <c r="AHR45" s="21"/>
      <c r="AHS45" s="21"/>
      <c r="AHT45" s="21"/>
      <c r="AHU45" s="21"/>
      <c r="AHV45" s="21"/>
      <c r="AHW45" s="21"/>
      <c r="AHX45" s="21"/>
      <c r="AHY45" s="21"/>
      <c r="AHZ45" s="21"/>
      <c r="AIA45" s="21"/>
      <c r="AIB45" s="21"/>
      <c r="AIC45" s="21"/>
      <c r="AID45" s="21"/>
      <c r="AIE45" s="21"/>
      <c r="AIF45" s="21"/>
      <c r="AIG45" s="21"/>
      <c r="AIH45" s="21"/>
      <c r="AII45" s="21"/>
      <c r="AIJ45" s="21"/>
      <c r="AIK45" s="21"/>
      <c r="AIL45" s="21"/>
      <c r="AIM45" s="21"/>
      <c r="AIN45" s="21"/>
      <c r="AIO45" s="21"/>
      <c r="AIP45" s="21"/>
      <c r="AIQ45" s="21"/>
      <c r="AIR45" s="21"/>
      <c r="AIS45" s="21"/>
      <c r="AIT45" s="21"/>
      <c r="AIU45" s="21"/>
      <c r="AIV45" s="21"/>
      <c r="AIW45" s="21"/>
      <c r="AIX45" s="21"/>
      <c r="AIY45" s="21"/>
      <c r="AIZ45" s="21"/>
      <c r="AJA45" s="21"/>
      <c r="AJB45" s="21"/>
      <c r="AJC45" s="21"/>
      <c r="AJD45" s="21"/>
      <c r="AJE45" s="21"/>
      <c r="AJF45" s="21"/>
      <c r="AJG45" s="21"/>
      <c r="AJH45" s="21"/>
      <c r="AJI45" s="21"/>
      <c r="AJJ45" s="21"/>
      <c r="AJK45" s="21"/>
      <c r="AJL45" s="21"/>
      <c r="AJM45" s="21"/>
      <c r="AJN45" s="21"/>
      <c r="AJO45" s="21"/>
      <c r="AJP45" s="21"/>
      <c r="AJQ45" s="21"/>
      <c r="AJR45" s="21"/>
      <c r="AJS45" s="21"/>
      <c r="AJT45" s="21"/>
      <c r="AJU45" s="21"/>
      <c r="AJV45" s="21"/>
      <c r="AJW45" s="21"/>
      <c r="AJX45" s="21"/>
      <c r="AJY45" s="21"/>
      <c r="AJZ45" s="21"/>
      <c r="AKA45" s="21"/>
      <c r="AKB45" s="21"/>
      <c r="AKC45" s="21"/>
      <c r="AKD45" s="21"/>
      <c r="AKE45" s="21"/>
      <c r="AKF45" s="21"/>
      <c r="AKG45" s="21"/>
      <c r="AKH45" s="21"/>
      <c r="AKI45" s="21"/>
      <c r="AKJ45" s="21"/>
      <c r="AKK45" s="21"/>
      <c r="AKL45" s="21"/>
      <c r="AKM45" s="21"/>
      <c r="AKN45" s="21"/>
      <c r="AKO45" s="21"/>
      <c r="AKP45" s="21"/>
      <c r="AKQ45" s="21"/>
      <c r="AKR45" s="21"/>
      <c r="AKS45" s="21"/>
      <c r="AKT45" s="21"/>
      <c r="AKU45" s="21"/>
      <c r="AKV45" s="21"/>
      <c r="AKW45" s="21"/>
      <c r="AKX45" s="21"/>
      <c r="AKY45" s="21"/>
      <c r="AKZ45" s="21"/>
      <c r="ALA45" s="21"/>
      <c r="ALB45" s="21"/>
      <c r="ALC45" s="21"/>
      <c r="ALD45" s="21"/>
      <c r="ALE45" s="21"/>
      <c r="ALF45" s="21"/>
      <c r="ALG45" s="21"/>
      <c r="ALH45" s="21"/>
      <c r="ALI45" s="21"/>
      <c r="ALJ45" s="21"/>
      <c r="ALK45" s="21"/>
      <c r="ALL45" s="21"/>
      <c r="ALM45" s="21"/>
      <c r="ALN45" s="21"/>
      <c r="ALO45" s="21"/>
      <c r="ALP45" s="21"/>
      <c r="ALQ45" s="21"/>
      <c r="ALR45" s="21"/>
      <c r="ALS45" s="21"/>
      <c r="ALT45" s="21"/>
      <c r="ALU45" s="21"/>
      <c r="ALV45" s="21"/>
      <c r="ALW45" s="21"/>
      <c r="ALX45" s="21"/>
      <c r="ALY45" s="21"/>
      <c r="ALZ45" s="21"/>
      <c r="AMA45" s="21"/>
      <c r="AMB45" s="21"/>
      <c r="AMC45" s="21"/>
      <c r="AMD45" s="21"/>
      <c r="AME45" s="21"/>
      <c r="AMF45" s="21"/>
      <c r="AMG45" s="21"/>
      <c r="AMH45" s="21"/>
      <c r="AMI45" s="21"/>
      <c r="AMJ45" s="21"/>
      <c r="AMK45" s="21"/>
      <c r="AML45" s="21"/>
      <c r="AMM45" s="21"/>
      <c r="AMN45" s="21"/>
      <c r="AMO45" s="21"/>
      <c r="AMP45" s="21"/>
      <c r="AMQ45" s="21"/>
      <c r="AMR45" s="21"/>
      <c r="AMS45" s="21"/>
      <c r="AMT45" s="21"/>
      <c r="AMU45" s="21"/>
      <c r="AMV45" s="21"/>
      <c r="AMW45" s="21"/>
      <c r="AMX45" s="21"/>
      <c r="AMY45" s="21"/>
      <c r="AMZ45" s="21"/>
      <c r="ANA45" s="21"/>
      <c r="ANB45" s="21"/>
      <c r="ANC45" s="21"/>
      <c r="AND45" s="21"/>
      <c r="ANE45" s="21"/>
      <c r="ANF45" s="21"/>
      <c r="ANG45" s="21"/>
      <c r="ANH45" s="21"/>
      <c r="ANI45" s="21"/>
      <c r="ANJ45" s="21"/>
      <c r="ANK45" s="21"/>
      <c r="ANL45" s="21"/>
      <c r="ANM45" s="21"/>
      <c r="ANN45" s="21"/>
      <c r="ANO45" s="21"/>
      <c r="ANP45" s="21"/>
      <c r="ANQ45" s="21"/>
      <c r="ANR45" s="21"/>
      <c r="ANS45" s="21"/>
      <c r="ANT45" s="21"/>
      <c r="ANU45" s="21"/>
      <c r="ANV45" s="21"/>
      <c r="ANW45" s="21"/>
      <c r="ANX45" s="21"/>
      <c r="ANY45" s="21"/>
      <c r="ANZ45" s="21"/>
      <c r="AOA45" s="21"/>
      <c r="AOB45" s="21"/>
      <c r="AOC45" s="21"/>
      <c r="AOD45" s="21"/>
      <c r="AOE45" s="21"/>
      <c r="AOF45" s="21"/>
      <c r="AOG45" s="21"/>
      <c r="AOH45" s="21"/>
      <c r="AOI45" s="21"/>
      <c r="AOJ45" s="21"/>
      <c r="AOK45" s="21"/>
      <c r="AOL45" s="21"/>
      <c r="AOM45" s="21"/>
      <c r="AON45" s="21"/>
      <c r="AOO45" s="21"/>
      <c r="AOP45" s="21"/>
      <c r="AOQ45" s="21"/>
      <c r="AOR45" s="21"/>
      <c r="AOS45" s="21"/>
      <c r="AOT45" s="21"/>
      <c r="AOU45" s="21"/>
      <c r="AOV45" s="21"/>
      <c r="AOW45" s="21"/>
      <c r="AOX45" s="21"/>
      <c r="AOY45" s="21"/>
      <c r="AOZ45" s="21"/>
      <c r="APA45" s="21"/>
      <c r="APB45" s="21"/>
      <c r="APC45" s="21"/>
      <c r="APD45" s="21"/>
      <c r="APE45" s="21"/>
      <c r="APF45" s="21"/>
      <c r="APG45" s="21"/>
      <c r="APH45" s="21"/>
      <c r="API45" s="21"/>
      <c r="APJ45" s="21"/>
      <c r="APK45" s="21"/>
      <c r="APL45" s="21"/>
      <c r="APM45" s="21"/>
      <c r="APN45" s="21"/>
      <c r="APO45" s="21"/>
      <c r="APP45" s="21"/>
      <c r="APQ45" s="21"/>
      <c r="APR45" s="21"/>
      <c r="APS45" s="21"/>
      <c r="APT45" s="21"/>
      <c r="APU45" s="21"/>
      <c r="APV45" s="21"/>
      <c r="APW45" s="21"/>
      <c r="APX45" s="21"/>
      <c r="APY45" s="21"/>
      <c r="APZ45" s="21"/>
      <c r="AQA45" s="21"/>
      <c r="AQB45" s="21"/>
      <c r="AQC45" s="21"/>
      <c r="AQD45" s="21"/>
      <c r="AQE45" s="21"/>
      <c r="AQF45" s="21"/>
      <c r="AQG45" s="21"/>
      <c r="AQH45" s="21"/>
      <c r="AQI45" s="21"/>
      <c r="AQJ45" s="21"/>
      <c r="AQK45" s="21"/>
      <c r="AQL45" s="21"/>
      <c r="AQM45" s="21"/>
      <c r="AQN45" s="21"/>
      <c r="AQO45" s="21"/>
      <c r="AQP45" s="21"/>
      <c r="AQQ45" s="21"/>
      <c r="AQR45" s="21"/>
      <c r="AQS45" s="21"/>
      <c r="AQT45" s="21"/>
      <c r="AQU45" s="21"/>
      <c r="AQV45" s="21"/>
      <c r="AQW45" s="21"/>
      <c r="AQX45" s="21"/>
      <c r="AQY45" s="21"/>
      <c r="AQZ45" s="21"/>
      <c r="ARA45" s="21"/>
      <c r="ARB45" s="21"/>
      <c r="ARC45" s="21"/>
      <c r="ARD45" s="21"/>
      <c r="ARE45" s="21"/>
      <c r="ARF45" s="21"/>
      <c r="ARG45" s="21"/>
      <c r="ARH45" s="21"/>
      <c r="ARI45" s="21"/>
      <c r="ARJ45" s="21"/>
      <c r="ARK45" s="21"/>
      <c r="ARL45" s="21"/>
      <c r="ARM45" s="21"/>
      <c r="ARN45" s="21"/>
      <c r="ARO45" s="21"/>
      <c r="ARP45" s="21"/>
      <c r="ARQ45" s="21"/>
      <c r="ARR45" s="21"/>
      <c r="ARS45" s="21"/>
      <c r="ART45" s="21"/>
      <c r="ARU45" s="21"/>
      <c r="ARV45" s="21"/>
      <c r="ARW45" s="21"/>
      <c r="ARX45" s="21"/>
      <c r="ARY45" s="21"/>
      <c r="ARZ45" s="21"/>
      <c r="ASA45" s="21"/>
      <c r="ASB45" s="21"/>
      <c r="ASC45" s="21"/>
      <c r="ASD45" s="21"/>
      <c r="ASE45" s="21"/>
      <c r="ASF45" s="21"/>
      <c r="ASG45" s="21"/>
      <c r="ASH45" s="21"/>
      <c r="ASI45" s="21"/>
      <c r="ASJ45" s="21"/>
      <c r="ASK45" s="21"/>
      <c r="ASL45" s="21"/>
      <c r="ASM45" s="21"/>
      <c r="ASN45" s="21"/>
      <c r="ASO45" s="21"/>
      <c r="ASP45" s="21"/>
      <c r="ASQ45" s="21"/>
      <c r="ASR45" s="21"/>
      <c r="ASS45" s="21"/>
      <c r="AST45" s="21"/>
      <c r="ASU45" s="21"/>
      <c r="ASV45" s="21"/>
      <c r="ASW45" s="21"/>
      <c r="ASX45" s="21"/>
      <c r="ASY45" s="21"/>
      <c r="ASZ45" s="21"/>
      <c r="ATA45" s="21"/>
      <c r="ATB45" s="21"/>
      <c r="ATC45" s="21"/>
      <c r="ATD45" s="21"/>
      <c r="ATE45" s="21"/>
      <c r="ATF45" s="21"/>
      <c r="ATG45" s="21"/>
      <c r="ATH45" s="21"/>
      <c r="ATI45" s="21"/>
      <c r="ATJ45" s="21"/>
      <c r="ATK45" s="21"/>
      <c r="ATL45" s="21"/>
      <c r="ATM45" s="21"/>
      <c r="ATN45" s="21"/>
      <c r="ATO45" s="21"/>
      <c r="ATP45" s="21"/>
      <c r="ATQ45" s="21"/>
      <c r="ATR45" s="21"/>
      <c r="ATS45" s="21"/>
      <c r="ATT45" s="21"/>
      <c r="ATU45" s="21"/>
      <c r="ATV45" s="21"/>
      <c r="ATW45" s="21"/>
      <c r="ATX45" s="21"/>
      <c r="ATY45" s="21"/>
      <c r="ATZ45" s="21"/>
      <c r="AUA45" s="21"/>
      <c r="AUB45" s="21"/>
      <c r="AUC45" s="21"/>
      <c r="AUD45" s="21"/>
      <c r="AUE45" s="21"/>
      <c r="AUF45" s="21"/>
      <c r="AUG45" s="21"/>
      <c r="AUH45" s="21"/>
      <c r="AUI45" s="21"/>
      <c r="AUJ45" s="21"/>
      <c r="AUK45" s="21"/>
      <c r="AUL45" s="21"/>
      <c r="AUM45" s="21"/>
      <c r="AUN45" s="21"/>
      <c r="AUO45" s="21"/>
      <c r="AUP45" s="21"/>
      <c r="AUQ45" s="21"/>
      <c r="AUR45" s="21"/>
      <c r="AUS45" s="21"/>
      <c r="AUT45" s="21"/>
      <c r="AUU45" s="21"/>
      <c r="AUV45" s="21"/>
      <c r="AUW45" s="21"/>
      <c r="AUX45" s="21"/>
      <c r="AUY45" s="21"/>
      <c r="AUZ45" s="21"/>
      <c r="AVA45" s="21"/>
      <c r="AVB45" s="21"/>
      <c r="AVC45" s="21"/>
      <c r="AVD45" s="21"/>
      <c r="AVE45" s="21"/>
      <c r="AVF45" s="21"/>
      <c r="AVG45" s="21"/>
      <c r="AVH45" s="21"/>
      <c r="AVI45" s="21"/>
      <c r="AVJ45" s="21"/>
      <c r="AVK45" s="21"/>
      <c r="AVL45" s="21"/>
      <c r="AVM45" s="21"/>
      <c r="AVN45" s="21"/>
      <c r="AVO45" s="21"/>
      <c r="AVP45" s="21"/>
      <c r="AVQ45" s="21"/>
      <c r="AVR45" s="21"/>
      <c r="AVS45" s="21"/>
      <c r="AVT45" s="21"/>
      <c r="AVU45" s="21"/>
      <c r="AVV45" s="21"/>
      <c r="AVW45" s="21"/>
      <c r="AVX45" s="21"/>
      <c r="AVY45" s="21"/>
      <c r="AVZ45" s="21"/>
      <c r="AWA45" s="21"/>
      <c r="AWB45" s="21"/>
      <c r="AWC45" s="21"/>
      <c r="AWD45" s="21"/>
      <c r="AWE45" s="21"/>
      <c r="AWF45" s="21"/>
      <c r="AWG45" s="21"/>
      <c r="AWH45" s="21"/>
      <c r="AWI45" s="21"/>
      <c r="AWJ45" s="21"/>
      <c r="AWK45" s="21"/>
      <c r="AWL45" s="21"/>
      <c r="AWM45" s="21"/>
      <c r="AWN45" s="21"/>
      <c r="AWO45" s="21"/>
      <c r="AWP45" s="21"/>
      <c r="AWQ45" s="21"/>
      <c r="AWR45" s="21"/>
      <c r="AWS45" s="21"/>
      <c r="AWT45" s="21"/>
      <c r="AWU45" s="21"/>
      <c r="AWV45" s="21"/>
      <c r="AWW45" s="21"/>
      <c r="AWX45" s="21"/>
      <c r="AWY45" s="21"/>
      <c r="AWZ45" s="21"/>
      <c r="AXA45" s="21"/>
      <c r="AXB45" s="21"/>
      <c r="AXC45" s="21"/>
      <c r="AXD45" s="21"/>
      <c r="AXE45" s="21"/>
      <c r="AXF45" s="21"/>
      <c r="AXG45" s="21"/>
      <c r="AXH45" s="21"/>
      <c r="AXI45" s="21"/>
      <c r="AXJ45" s="21"/>
      <c r="AXK45" s="21"/>
      <c r="AXL45" s="21"/>
      <c r="AXM45" s="21"/>
      <c r="AXN45" s="21"/>
      <c r="AXO45" s="21"/>
      <c r="AXP45" s="21"/>
      <c r="AXQ45" s="21"/>
      <c r="AXR45" s="21"/>
      <c r="AXS45" s="21"/>
      <c r="AXT45" s="21"/>
      <c r="AXU45" s="21"/>
      <c r="AXV45" s="21"/>
      <c r="AXW45" s="21"/>
      <c r="AXX45" s="21"/>
      <c r="AXY45" s="21"/>
      <c r="AXZ45" s="21"/>
      <c r="AYA45" s="21"/>
      <c r="AYB45" s="21"/>
      <c r="AYC45" s="21"/>
      <c r="AYD45" s="21"/>
      <c r="AYE45" s="21"/>
      <c r="AYF45" s="21"/>
      <c r="AYG45" s="21"/>
      <c r="AYH45" s="21"/>
      <c r="AYI45" s="21"/>
      <c r="AYJ45" s="21"/>
      <c r="AYK45" s="21"/>
      <c r="AYL45" s="21"/>
      <c r="AYM45" s="21"/>
      <c r="AYN45" s="21"/>
      <c r="AYO45" s="21"/>
      <c r="AYP45" s="21"/>
      <c r="AYQ45" s="21"/>
      <c r="AYR45" s="21"/>
      <c r="AYS45" s="21"/>
      <c r="AYT45" s="21"/>
      <c r="AYU45" s="21"/>
      <c r="AYV45" s="21"/>
      <c r="AYW45" s="21"/>
      <c r="AYX45" s="21"/>
      <c r="AYY45" s="21"/>
      <c r="AYZ45" s="21"/>
      <c r="AZA45" s="21"/>
      <c r="AZB45" s="21"/>
      <c r="AZC45" s="21"/>
      <c r="AZD45" s="21"/>
      <c r="AZE45" s="21"/>
      <c r="AZF45" s="21"/>
      <c r="AZG45" s="21"/>
      <c r="AZH45" s="21"/>
      <c r="AZI45" s="21"/>
      <c r="AZJ45" s="21"/>
      <c r="AZK45" s="21"/>
      <c r="AZL45" s="21"/>
      <c r="AZM45" s="21"/>
      <c r="AZN45" s="21"/>
      <c r="AZO45" s="21"/>
      <c r="AZP45" s="21"/>
      <c r="AZQ45" s="21"/>
      <c r="AZR45" s="21"/>
      <c r="AZS45" s="21"/>
      <c r="AZT45" s="21"/>
      <c r="AZU45" s="21"/>
      <c r="AZV45" s="21"/>
      <c r="AZW45" s="21"/>
      <c r="AZX45" s="21"/>
      <c r="AZY45" s="21"/>
      <c r="AZZ45" s="21"/>
      <c r="BAA45" s="21"/>
      <c r="BAB45" s="21"/>
      <c r="BAC45" s="21"/>
      <c r="BAD45" s="21"/>
      <c r="BAE45" s="21"/>
      <c r="BAF45" s="21"/>
      <c r="BAG45" s="21"/>
      <c r="BAH45" s="21"/>
      <c r="BAI45" s="21"/>
      <c r="BAJ45" s="21"/>
      <c r="BAK45" s="21"/>
      <c r="BAL45" s="21"/>
      <c r="BAM45" s="21"/>
      <c r="BAN45" s="21"/>
      <c r="BAO45" s="21"/>
      <c r="BAP45" s="21"/>
      <c r="BAQ45" s="21"/>
      <c r="BAR45" s="21"/>
      <c r="BAS45" s="21"/>
      <c r="BAT45" s="21"/>
      <c r="BAU45" s="21"/>
      <c r="BAV45" s="21"/>
      <c r="BAW45" s="21"/>
      <c r="BAX45" s="21"/>
      <c r="BAY45" s="21"/>
      <c r="BAZ45" s="21"/>
      <c r="BBA45" s="21"/>
      <c r="BBB45" s="21"/>
      <c r="BBC45" s="21"/>
      <c r="BBD45" s="21"/>
      <c r="BBE45" s="21"/>
      <c r="BBF45" s="21"/>
      <c r="BBG45" s="21"/>
      <c r="BBH45" s="21"/>
      <c r="BBI45" s="21"/>
      <c r="BBJ45" s="21"/>
      <c r="BBK45" s="21"/>
      <c r="BBL45" s="21"/>
      <c r="BBM45" s="21"/>
      <c r="BBN45" s="21"/>
      <c r="BBO45" s="21"/>
      <c r="BBP45" s="21"/>
      <c r="BBQ45" s="21"/>
      <c r="BBR45" s="21"/>
      <c r="BBS45" s="21"/>
      <c r="BBT45" s="21"/>
      <c r="BBU45" s="21"/>
      <c r="BBV45" s="21"/>
      <c r="BBW45" s="21"/>
      <c r="BBX45" s="21"/>
      <c r="BBY45" s="21"/>
      <c r="BBZ45" s="21"/>
      <c r="BCA45" s="21"/>
      <c r="BCB45" s="21"/>
      <c r="BCC45" s="21"/>
      <c r="BCD45" s="21"/>
      <c r="BCE45" s="21"/>
      <c r="BCF45" s="21"/>
      <c r="BCG45" s="21"/>
      <c r="BCH45" s="21"/>
      <c r="BCI45" s="21"/>
      <c r="BCJ45" s="21"/>
      <c r="BCK45" s="21"/>
      <c r="BCL45" s="21"/>
      <c r="BCM45" s="21"/>
      <c r="BCN45" s="21"/>
      <c r="BCO45" s="21"/>
      <c r="BCP45" s="21"/>
      <c r="BCQ45" s="21"/>
      <c r="BCR45" s="21"/>
      <c r="BCS45" s="21"/>
      <c r="BCT45" s="21"/>
      <c r="BCU45" s="21"/>
      <c r="BCV45" s="21"/>
      <c r="BCW45" s="21"/>
      <c r="BCX45" s="21"/>
      <c r="BCY45" s="21"/>
      <c r="BCZ45" s="21"/>
      <c r="BDA45" s="21"/>
      <c r="BDB45" s="21"/>
      <c r="BDC45" s="21"/>
      <c r="BDD45" s="21"/>
      <c r="BDE45" s="21"/>
      <c r="BDF45" s="21"/>
      <c r="BDG45" s="21"/>
      <c r="BDH45" s="21"/>
      <c r="BDI45" s="21"/>
      <c r="BDJ45" s="21"/>
      <c r="BDK45" s="21"/>
      <c r="BDL45" s="21"/>
      <c r="BDM45" s="21"/>
      <c r="BDN45" s="21"/>
      <c r="BDO45" s="21"/>
      <c r="BDP45" s="21"/>
      <c r="BDQ45" s="21"/>
      <c r="BDR45" s="21"/>
      <c r="BDS45" s="21"/>
      <c r="BDT45" s="21"/>
      <c r="BDU45" s="21"/>
      <c r="BDV45" s="21"/>
      <c r="BDW45" s="21"/>
      <c r="BDX45" s="21"/>
      <c r="BDY45" s="21"/>
      <c r="BDZ45" s="21"/>
      <c r="BEA45" s="21"/>
      <c r="BEB45" s="21"/>
      <c r="BEC45" s="21"/>
      <c r="BED45" s="21"/>
      <c r="BEE45" s="21"/>
      <c r="BEF45" s="21"/>
      <c r="BEG45" s="21"/>
      <c r="BEH45" s="21"/>
      <c r="BEI45" s="21"/>
      <c r="BEJ45" s="21"/>
      <c r="BEK45" s="21"/>
      <c r="BEL45" s="21"/>
      <c r="BEM45" s="21"/>
      <c r="BEN45" s="21"/>
      <c r="BEO45" s="21"/>
      <c r="BEP45" s="21"/>
      <c r="BEQ45" s="21"/>
      <c r="BER45" s="21"/>
      <c r="BES45" s="21"/>
      <c r="BET45" s="21"/>
      <c r="BEU45" s="21"/>
      <c r="BEV45" s="21"/>
      <c r="BEW45" s="21"/>
      <c r="BEX45" s="21"/>
      <c r="BEY45" s="21"/>
      <c r="BEZ45" s="21"/>
      <c r="BFA45" s="21"/>
      <c r="BFB45" s="21"/>
      <c r="BFC45" s="21"/>
      <c r="BFD45" s="21"/>
      <c r="BFE45" s="21"/>
      <c r="BFF45" s="21"/>
      <c r="BFG45" s="21"/>
      <c r="BFH45" s="21"/>
      <c r="BFI45" s="21"/>
      <c r="BFJ45" s="21"/>
      <c r="BFK45" s="21"/>
      <c r="BFL45" s="21"/>
      <c r="BFM45" s="21"/>
      <c r="BFN45" s="21"/>
      <c r="BFO45" s="21"/>
      <c r="BFP45" s="21"/>
      <c r="BFQ45" s="21"/>
      <c r="BFR45" s="21"/>
      <c r="BFS45" s="21"/>
      <c r="BFT45" s="21"/>
      <c r="BFU45" s="21"/>
      <c r="BFV45" s="21"/>
      <c r="BFW45" s="21"/>
      <c r="BFX45" s="21"/>
      <c r="BFY45" s="21"/>
      <c r="BFZ45" s="21"/>
      <c r="BGA45" s="21"/>
      <c r="BGB45" s="21"/>
      <c r="BGC45" s="21"/>
      <c r="BGD45" s="21"/>
      <c r="BGE45" s="21"/>
      <c r="BGF45" s="21"/>
      <c r="BGG45" s="21"/>
      <c r="BGH45" s="21"/>
      <c r="BGI45" s="21"/>
      <c r="BGJ45" s="21"/>
      <c r="BGK45" s="21"/>
      <c r="BGL45" s="21"/>
      <c r="BGM45" s="21"/>
      <c r="BGN45" s="21"/>
      <c r="BGO45" s="21"/>
      <c r="BGP45" s="21"/>
      <c r="BGQ45" s="21"/>
      <c r="BGR45" s="21"/>
      <c r="BGS45" s="21"/>
      <c r="BGT45" s="21"/>
      <c r="BGU45" s="21"/>
      <c r="BGV45" s="21"/>
      <c r="BGW45" s="21"/>
      <c r="BGX45" s="21"/>
      <c r="BGY45" s="21"/>
      <c r="BGZ45" s="21"/>
      <c r="BHA45" s="21"/>
      <c r="BHB45" s="21"/>
      <c r="BHC45" s="21"/>
      <c r="BHD45" s="21"/>
      <c r="BHE45" s="21"/>
      <c r="BHF45" s="21"/>
      <c r="BHG45" s="21"/>
      <c r="BHH45" s="21"/>
      <c r="BHI45" s="21"/>
      <c r="BHJ45" s="21"/>
      <c r="BHK45" s="21"/>
      <c r="BHL45" s="21"/>
      <c r="BHM45" s="21"/>
      <c r="BHN45" s="21"/>
      <c r="BHO45" s="21"/>
      <c r="BHP45" s="21"/>
      <c r="BHQ45" s="21"/>
      <c r="BHR45" s="21"/>
      <c r="BHS45" s="21"/>
      <c r="BHT45" s="21"/>
      <c r="BHU45" s="21"/>
      <c r="BHV45" s="21"/>
      <c r="BHW45" s="21"/>
      <c r="BHX45" s="21"/>
      <c r="BHY45" s="21"/>
      <c r="BHZ45" s="21"/>
      <c r="BIA45" s="21"/>
      <c r="BIB45" s="21"/>
      <c r="BIC45" s="21"/>
      <c r="BID45" s="21"/>
      <c r="BIE45" s="21"/>
      <c r="BIF45" s="21"/>
      <c r="BIG45" s="21"/>
      <c r="BIH45" s="21"/>
      <c r="BII45" s="21"/>
      <c r="BIJ45" s="21"/>
      <c r="BIK45" s="21"/>
      <c r="BIL45" s="21"/>
      <c r="BIM45" s="21"/>
      <c r="BIN45" s="21"/>
      <c r="BIO45" s="21"/>
      <c r="BIP45" s="21"/>
      <c r="BIQ45" s="21"/>
      <c r="BIR45" s="21"/>
      <c r="BIS45" s="21"/>
      <c r="BIT45" s="21"/>
      <c r="BIU45" s="21"/>
      <c r="BIV45" s="21"/>
      <c r="BIW45" s="21"/>
      <c r="BIX45" s="21"/>
      <c r="BIY45" s="21"/>
      <c r="BIZ45" s="21"/>
      <c r="BJA45" s="21"/>
      <c r="BJB45" s="21"/>
      <c r="BJC45" s="21"/>
      <c r="BJD45" s="21"/>
      <c r="BJE45" s="21"/>
      <c r="BJF45" s="21"/>
      <c r="BJG45" s="21"/>
      <c r="BJH45" s="21"/>
      <c r="BJI45" s="21"/>
      <c r="BJJ45" s="21"/>
      <c r="BJK45" s="21"/>
      <c r="BJL45" s="21"/>
      <c r="BJM45" s="21"/>
      <c r="BJN45" s="21"/>
      <c r="BJO45" s="21"/>
      <c r="BJP45" s="21"/>
      <c r="BJQ45" s="21"/>
      <c r="BJR45" s="21"/>
      <c r="BJS45" s="21"/>
      <c r="BJT45" s="21"/>
      <c r="BJU45" s="21"/>
      <c r="BJV45" s="21"/>
      <c r="BJW45" s="21"/>
      <c r="BJX45" s="21"/>
      <c r="BJY45" s="21"/>
      <c r="BJZ45" s="21"/>
      <c r="BKA45" s="21"/>
      <c r="BKB45" s="21"/>
      <c r="BKC45" s="21"/>
      <c r="BKD45" s="21"/>
      <c r="BKE45" s="21"/>
      <c r="BKF45" s="21"/>
      <c r="BKG45" s="21"/>
      <c r="BKH45" s="21"/>
      <c r="BKI45" s="21"/>
      <c r="BKJ45" s="21"/>
      <c r="BKK45" s="21"/>
      <c r="BKL45" s="21"/>
      <c r="BKM45" s="21"/>
      <c r="BKN45" s="21"/>
      <c r="BKO45" s="21"/>
      <c r="BKP45" s="21"/>
      <c r="BKQ45" s="21"/>
      <c r="BKR45" s="21"/>
      <c r="BKS45" s="21"/>
      <c r="BKT45" s="21"/>
      <c r="BKU45" s="21"/>
      <c r="BKV45" s="21"/>
      <c r="BKW45" s="21"/>
      <c r="BKX45" s="21"/>
      <c r="BKY45" s="21"/>
      <c r="BKZ45" s="21"/>
      <c r="BLA45" s="21"/>
      <c r="BLB45" s="21"/>
      <c r="BLC45" s="21"/>
      <c r="BLD45" s="21"/>
      <c r="BLE45" s="21"/>
      <c r="BLF45" s="21"/>
      <c r="BLG45" s="21"/>
      <c r="BLH45" s="21"/>
      <c r="BLI45" s="21"/>
      <c r="BLJ45" s="21"/>
      <c r="BLK45" s="21"/>
      <c r="BLL45" s="21"/>
      <c r="BLM45" s="21"/>
      <c r="BLN45" s="21"/>
      <c r="BLO45" s="21"/>
      <c r="BLP45" s="21"/>
      <c r="BLQ45" s="21"/>
      <c r="BLR45" s="21"/>
      <c r="BLS45" s="21"/>
      <c r="BLT45" s="21"/>
      <c r="BLU45" s="21"/>
      <c r="BLV45" s="21"/>
      <c r="BLW45" s="21"/>
      <c r="BLX45" s="21"/>
      <c r="BLY45" s="21"/>
      <c r="BLZ45" s="21"/>
      <c r="BMA45" s="21"/>
      <c r="BMB45" s="21"/>
      <c r="BMC45" s="21"/>
      <c r="BMD45" s="21"/>
      <c r="BME45" s="21"/>
      <c r="BMF45" s="21"/>
      <c r="BMG45" s="21"/>
      <c r="BMH45" s="21"/>
      <c r="BMI45" s="21"/>
      <c r="BMJ45" s="21"/>
      <c r="BMK45" s="21"/>
      <c r="BML45" s="21"/>
      <c r="BMM45" s="21"/>
      <c r="BMN45" s="21"/>
      <c r="BMO45" s="21"/>
      <c r="BMP45" s="21"/>
      <c r="BMQ45" s="21"/>
      <c r="BMR45" s="21"/>
      <c r="BMS45" s="21"/>
      <c r="BMT45" s="21"/>
      <c r="BMU45" s="21"/>
      <c r="BMV45" s="21"/>
      <c r="BMW45" s="21"/>
      <c r="BMX45" s="21"/>
      <c r="BMY45" s="21"/>
      <c r="BMZ45" s="21"/>
      <c r="BNA45" s="21"/>
      <c r="BNB45" s="21"/>
      <c r="BNC45" s="21"/>
      <c r="BND45" s="21"/>
      <c r="BNE45" s="21"/>
      <c r="BNF45" s="21"/>
      <c r="BNG45" s="21"/>
      <c r="BNH45" s="21"/>
      <c r="BNI45" s="21"/>
      <c r="BNJ45" s="21"/>
      <c r="BNK45" s="21"/>
      <c r="BNL45" s="21"/>
      <c r="BNM45" s="21"/>
      <c r="BNN45" s="21"/>
      <c r="BNO45" s="21"/>
      <c r="BNP45" s="21"/>
      <c r="BNQ45" s="21"/>
      <c r="BNR45" s="21"/>
      <c r="BNS45" s="21"/>
      <c r="BNT45" s="21"/>
      <c r="BNU45" s="21"/>
      <c r="BNV45" s="21"/>
      <c r="BNW45" s="21"/>
      <c r="BNX45" s="21"/>
      <c r="BNY45" s="21"/>
      <c r="BNZ45" s="21"/>
      <c r="BOA45" s="21"/>
      <c r="BOB45" s="21"/>
      <c r="BOC45" s="21"/>
      <c r="BOD45" s="21"/>
      <c r="BOE45" s="21"/>
      <c r="BOF45" s="21"/>
      <c r="BOG45" s="21"/>
      <c r="BOH45" s="21"/>
      <c r="BOI45" s="21"/>
      <c r="BOJ45" s="21"/>
      <c r="BOK45" s="21"/>
      <c r="BOL45" s="21"/>
      <c r="BOM45" s="21"/>
      <c r="BON45" s="21"/>
      <c r="BOO45" s="21"/>
      <c r="BOP45" s="21"/>
      <c r="BOQ45" s="21"/>
      <c r="BOR45" s="21"/>
      <c r="BOS45" s="21"/>
      <c r="BOT45" s="21"/>
      <c r="BOU45" s="21"/>
      <c r="BOV45" s="21"/>
      <c r="BOW45" s="21"/>
      <c r="BOX45" s="21"/>
      <c r="BOY45" s="21"/>
      <c r="BOZ45" s="21"/>
      <c r="BPA45" s="21"/>
      <c r="BPB45" s="21"/>
      <c r="BPC45" s="21"/>
      <c r="BPD45" s="21"/>
      <c r="BPE45" s="21"/>
      <c r="BPF45" s="21"/>
      <c r="BPG45" s="21"/>
      <c r="BPH45" s="21"/>
      <c r="BPI45" s="21"/>
      <c r="BPJ45" s="21"/>
      <c r="BPK45" s="21"/>
      <c r="BPL45" s="21"/>
      <c r="BPM45" s="21"/>
      <c r="BPN45" s="21"/>
      <c r="BPO45" s="21"/>
      <c r="BPP45" s="21"/>
      <c r="BPQ45" s="21"/>
      <c r="BPR45" s="21"/>
      <c r="BPS45" s="21"/>
      <c r="BPT45" s="21"/>
      <c r="BPU45" s="21"/>
      <c r="BPV45" s="21"/>
      <c r="BPW45" s="21"/>
      <c r="BPX45" s="21"/>
      <c r="BPY45" s="21"/>
      <c r="BPZ45" s="21"/>
      <c r="BQA45" s="21"/>
      <c r="BQB45" s="21"/>
      <c r="BQC45" s="21"/>
      <c r="BQD45" s="21"/>
      <c r="BQE45" s="21"/>
      <c r="BQF45" s="21"/>
      <c r="BQG45" s="21"/>
      <c r="BQH45" s="21"/>
      <c r="BQI45" s="21"/>
      <c r="BQJ45" s="21"/>
      <c r="BQK45" s="21"/>
      <c r="BQL45" s="21"/>
      <c r="BQM45" s="21"/>
      <c r="BQN45" s="21"/>
      <c r="BQO45" s="21"/>
      <c r="BQP45" s="21"/>
      <c r="BQQ45" s="21"/>
      <c r="BQR45" s="21"/>
      <c r="BQS45" s="21"/>
      <c r="BQT45" s="21"/>
      <c r="BQU45" s="21"/>
      <c r="BQV45" s="21"/>
      <c r="BQW45" s="21"/>
      <c r="BQX45" s="21"/>
      <c r="BQY45" s="21"/>
      <c r="BQZ45" s="21"/>
      <c r="BRA45" s="21"/>
      <c r="BRB45" s="21"/>
      <c r="BRC45" s="21"/>
      <c r="BRD45" s="21"/>
      <c r="BRE45" s="21"/>
      <c r="BRF45" s="21"/>
      <c r="BRG45" s="21"/>
      <c r="BRH45" s="21"/>
      <c r="BRI45" s="21"/>
      <c r="BRJ45" s="21"/>
      <c r="BRK45" s="21"/>
      <c r="BRL45" s="21"/>
      <c r="BRM45" s="21"/>
      <c r="BRN45" s="21"/>
      <c r="BRO45" s="21"/>
      <c r="BRP45" s="21"/>
      <c r="BRQ45" s="21"/>
      <c r="BRR45" s="21"/>
      <c r="BRS45" s="21"/>
      <c r="BRT45" s="21"/>
      <c r="BRU45" s="21"/>
      <c r="BRV45" s="21"/>
      <c r="BRW45" s="21"/>
      <c r="BRX45" s="21"/>
      <c r="BRY45" s="21"/>
      <c r="BRZ45" s="21"/>
      <c r="BSA45" s="21"/>
    </row>
    <row r="46" spans="1:1847" ht="15.75" customHeight="1" x14ac:dyDescent="0.25">
      <c r="A46" s="247" t="s">
        <v>67</v>
      </c>
      <c r="B46" s="221">
        <v>30</v>
      </c>
      <c r="C46" s="248">
        <v>3</v>
      </c>
      <c r="D46" s="221" t="s">
        <v>38</v>
      </c>
      <c r="E46" s="221">
        <v>-3</v>
      </c>
      <c r="F46" s="221">
        <v>4</v>
      </c>
      <c r="G46" s="221">
        <v>108.65</v>
      </c>
      <c r="H46" s="158">
        <f t="shared" si="8"/>
        <v>110</v>
      </c>
      <c r="I46" s="221">
        <f t="shared" si="11"/>
        <v>108.65</v>
      </c>
      <c r="J46" s="221">
        <v>16.98</v>
      </c>
      <c r="K46" s="248">
        <f>AB46</f>
        <v>6.23</v>
      </c>
      <c r="L46" s="221">
        <v>1</v>
      </c>
      <c r="M46" s="258">
        <f>$K$6*(I46*$AK$12+IF(J46&gt;30,30*$AK$13+IF(J46&gt;60,30*$AK$14+IF(J46&gt;120,60*$AK$15,(J46-60)*$AK$15),(J46-30)*$AK$14),J46*$AK$13)+$AK$17*K46+L46*$AK$18)</f>
        <v>2130185.4856599998</v>
      </c>
      <c r="N46" s="221" t="s">
        <v>39</v>
      </c>
      <c r="O46" s="258">
        <f t="shared" si="15"/>
        <v>2130185.4856599998</v>
      </c>
      <c r="P46" s="258">
        <f t="shared" si="12"/>
        <v>1597639.1142449998</v>
      </c>
      <c r="Q46" s="258">
        <f t="shared" si="13"/>
        <v>2731672.48122</v>
      </c>
      <c r="R46" s="258">
        <f t="shared" si="14"/>
        <v>2231672.48122</v>
      </c>
      <c r="S46" s="258">
        <f t="shared" si="9"/>
        <v>2130185.4856599998</v>
      </c>
      <c r="T46" s="221"/>
      <c r="U46" s="264">
        <v>3</v>
      </c>
      <c r="V46" s="113" t="s">
        <v>291</v>
      </c>
      <c r="W46" t="s">
        <v>291</v>
      </c>
      <c r="X46" t="s">
        <v>291</v>
      </c>
      <c r="Z46" s="22" t="str">
        <f>C46&amp;A46</f>
        <v>3A2</v>
      </c>
      <c r="AA46" s="23">
        <v>3</v>
      </c>
      <c r="AB46" s="117">
        <v>6.23</v>
      </c>
      <c r="AC46" s="26"/>
      <c r="AE46" s="153"/>
      <c r="AF46" s="153"/>
    </row>
    <row r="47" spans="1:1847" ht="15.75" customHeight="1" x14ac:dyDescent="0.25">
      <c r="A47" s="247" t="s">
        <v>67</v>
      </c>
      <c r="B47" s="221">
        <v>30</v>
      </c>
      <c r="C47" s="248">
        <v>4</v>
      </c>
      <c r="D47" s="221" t="s">
        <v>38</v>
      </c>
      <c r="E47" s="221">
        <v>-3</v>
      </c>
      <c r="F47" s="221">
        <v>4</v>
      </c>
      <c r="G47" s="221">
        <v>108.65</v>
      </c>
      <c r="H47" s="158">
        <f t="shared" si="8"/>
        <v>110</v>
      </c>
      <c r="I47" s="221">
        <f t="shared" si="11"/>
        <v>108.65</v>
      </c>
      <c r="J47" s="221">
        <v>16.98</v>
      </c>
      <c r="K47" s="260">
        <f>AB47</f>
        <v>5.91</v>
      </c>
      <c r="L47" s="221">
        <v>1</v>
      </c>
      <c r="M47" s="258">
        <f>$K$6*(I47*$AK$12+IF(J47&gt;30,30*$AK$13+IF(J47&gt;60,30*$AK$14+IF(J47&gt;120,60*$AK$15,(J47-60)*$AK$15),(J47-30)*$AK$14),J47*$AK$13)+$AK$17*K47+L47*$AK$18)</f>
        <v>2128446.7509399997</v>
      </c>
      <c r="N47" s="221" t="s">
        <v>39</v>
      </c>
      <c r="O47" s="258">
        <f t="shared" si="15"/>
        <v>2128446.7509399997</v>
      </c>
      <c r="P47" s="258">
        <f t="shared" si="12"/>
        <v>1596335.0632049998</v>
      </c>
      <c r="Q47" s="258">
        <f t="shared" si="13"/>
        <v>2729442.7909799996</v>
      </c>
      <c r="R47" s="258">
        <f t="shared" si="14"/>
        <v>2229442.7909799996</v>
      </c>
      <c r="S47" s="258">
        <f t="shared" si="9"/>
        <v>2128446.7509399997</v>
      </c>
      <c r="T47" s="221"/>
      <c r="U47" s="264">
        <v>4</v>
      </c>
      <c r="V47" s="113" t="s">
        <v>291</v>
      </c>
      <c r="W47" t="s">
        <v>291</v>
      </c>
      <c r="X47" t="s">
        <v>291</v>
      </c>
      <c r="Z47" s="22" t="str">
        <f>C47&amp;A47</f>
        <v>4A2</v>
      </c>
      <c r="AA47" s="23">
        <v>4</v>
      </c>
      <c r="AB47" s="117">
        <v>5.91</v>
      </c>
      <c r="AC47" s="26"/>
      <c r="AE47" s="153"/>
      <c r="AF47" s="153"/>
    </row>
    <row r="48" spans="1:1847" ht="15.75" customHeight="1" x14ac:dyDescent="0.25">
      <c r="A48" s="247" t="s">
        <v>67</v>
      </c>
      <c r="B48" s="221">
        <v>30</v>
      </c>
      <c r="C48" s="248">
        <v>5</v>
      </c>
      <c r="D48" s="221" t="s">
        <v>41</v>
      </c>
      <c r="E48" s="221">
        <v>-2</v>
      </c>
      <c r="F48" s="221">
        <v>4</v>
      </c>
      <c r="G48" s="221">
        <v>108.65</v>
      </c>
      <c r="H48" s="158">
        <f t="shared" si="8"/>
        <v>110</v>
      </c>
      <c r="I48" s="221">
        <f t="shared" si="11"/>
        <v>108.65</v>
      </c>
      <c r="J48" s="221">
        <v>23.35</v>
      </c>
      <c r="K48" s="265">
        <f>AB48</f>
        <v>6.01</v>
      </c>
      <c r="L48" s="221">
        <v>1</v>
      </c>
      <c r="M48" s="258">
        <f>$K$6*(I48*$AK$12+IF(J48&gt;30,30*$AK$13+IF(J48&gt;60,30*$AK$14+IF(J48&gt;120,60*$AK$15,(J48-60)*$AK$15),(J48-30)*$AK$14),J48*$AK$13)+$AK$17*K48+L48*$AK$18)</f>
        <v>2163601.7935600001</v>
      </c>
      <c r="N48" s="221" t="s">
        <v>39</v>
      </c>
      <c r="O48" s="258">
        <f t="shared" si="15"/>
        <v>2163601.7935600001</v>
      </c>
      <c r="P48" s="258">
        <f t="shared" si="12"/>
        <v>1622701.3451700001</v>
      </c>
      <c r="Q48" s="258">
        <f t="shared" si="13"/>
        <v>2774524.3405199996</v>
      </c>
      <c r="R48" s="258">
        <f t="shared" si="14"/>
        <v>2274524.3405199996</v>
      </c>
      <c r="S48" s="258">
        <f t="shared" si="9"/>
        <v>2163601.7935600001</v>
      </c>
      <c r="T48" s="221"/>
      <c r="U48" s="264">
        <v>5</v>
      </c>
      <c r="V48" s="113" t="s">
        <v>291</v>
      </c>
      <c r="W48" t="s">
        <v>291</v>
      </c>
      <c r="X48" t="s">
        <v>291</v>
      </c>
      <c r="Z48" s="22" t="str">
        <f>C48&amp;A48</f>
        <v>5A2</v>
      </c>
      <c r="AA48" s="23">
        <v>5</v>
      </c>
      <c r="AB48" s="117">
        <v>6.01</v>
      </c>
      <c r="AC48" s="26"/>
      <c r="AE48" s="153"/>
      <c r="AF48" s="153"/>
    </row>
    <row r="49" spans="1:32" ht="15.75" customHeight="1" x14ac:dyDescent="0.25">
      <c r="A49" s="247" t="s">
        <v>67</v>
      </c>
      <c r="B49" s="221">
        <v>30</v>
      </c>
      <c r="C49" s="248">
        <v>6</v>
      </c>
      <c r="D49" s="221" t="s">
        <v>41</v>
      </c>
      <c r="E49" s="221">
        <v>-2</v>
      </c>
      <c r="F49" s="221">
        <v>4</v>
      </c>
      <c r="G49" s="221">
        <v>108.65</v>
      </c>
      <c r="H49" s="158">
        <f t="shared" si="8"/>
        <v>110</v>
      </c>
      <c r="I49" s="221">
        <f t="shared" si="11"/>
        <v>108.65</v>
      </c>
      <c r="J49" s="221">
        <v>23.35</v>
      </c>
      <c r="K49" s="265">
        <f>AB70</f>
        <v>5.03</v>
      </c>
      <c r="L49" s="221">
        <v>1</v>
      </c>
      <c r="M49" s="258">
        <f>$K$6*(I49*$AK$12+IF(J49&gt;30,30*$AK$13+IF(J49&gt;60,30*$AK$14+IF(J49&gt;120,60*$AK$15,(J49-60)*$AK$15),(J49-30)*$AK$14),J49*$AK$13)+$AK$17*K49+L49*$AK$18)</f>
        <v>2158276.91848</v>
      </c>
      <c r="N49" s="221" t="s">
        <v>39</v>
      </c>
      <c r="O49" s="258">
        <f t="shared" si="15"/>
        <v>2158276.91848</v>
      </c>
      <c r="P49" s="258">
        <f t="shared" si="12"/>
        <v>1618707.6888600001</v>
      </c>
      <c r="Q49" s="258">
        <f t="shared" si="13"/>
        <v>2767695.9141599997</v>
      </c>
      <c r="R49" s="258">
        <f t="shared" si="14"/>
        <v>2267695.9141599997</v>
      </c>
      <c r="S49" s="258">
        <f t="shared" si="9"/>
        <v>2158276.91848</v>
      </c>
      <c r="T49" s="221"/>
      <c r="U49" s="264">
        <v>27</v>
      </c>
      <c r="V49" s="113" t="s">
        <v>291</v>
      </c>
      <c r="W49" t="s">
        <v>291</v>
      </c>
      <c r="X49" t="s">
        <v>291</v>
      </c>
      <c r="Z49" s="125" t="str">
        <f>C70&amp;A70</f>
        <v>27A2</v>
      </c>
      <c r="AA49" s="126">
        <v>6</v>
      </c>
      <c r="AB49" s="117">
        <v>9.58</v>
      </c>
      <c r="AC49" s="26"/>
      <c r="AE49" s="153"/>
      <c r="AF49" s="153"/>
    </row>
    <row r="50" spans="1:32" ht="15.75" customHeight="1" x14ac:dyDescent="0.25">
      <c r="A50" s="247" t="s">
        <v>67</v>
      </c>
      <c r="B50" s="221">
        <v>30</v>
      </c>
      <c r="C50" s="248">
        <v>7</v>
      </c>
      <c r="D50" s="221" t="s">
        <v>43</v>
      </c>
      <c r="E50" s="221">
        <v>-1</v>
      </c>
      <c r="F50" s="221">
        <v>3</v>
      </c>
      <c r="G50" s="221">
        <v>79.56</v>
      </c>
      <c r="H50" s="158">
        <f t="shared" si="8"/>
        <v>90</v>
      </c>
      <c r="I50" s="221">
        <f t="shared" si="11"/>
        <v>79.56</v>
      </c>
      <c r="J50" s="221">
        <v>33.39</v>
      </c>
      <c r="K50" s="266">
        <f>AB50</f>
        <v>7.15</v>
      </c>
      <c r="L50" s="221">
        <v>1</v>
      </c>
      <c r="M50" s="258">
        <f>$K$6*(I50*$AK$12+IF(J50&gt;30,30*$AK$13+IF(J50&gt;60,30*$AK$14+IF(J50&gt;120,60*$AK$15,(J50-60)*$AK$15),(J50-30)*$AK$14),J50*$AK$13)+$AK$17*K50+L50*$AK$18)</f>
        <v>1691336.0870599998</v>
      </c>
      <c r="N50" s="221" t="s">
        <v>39</v>
      </c>
      <c r="O50" s="258">
        <f t="shared" si="15"/>
        <v>1691336.0870599998</v>
      </c>
      <c r="P50" s="258">
        <f t="shared" si="12"/>
        <v>1268502.0652949999</v>
      </c>
      <c r="Q50" s="258">
        <f t="shared" si="13"/>
        <v>2168907.9550199998</v>
      </c>
      <c r="R50" s="258">
        <f t="shared" si="14"/>
        <v>1668907.9550199998</v>
      </c>
      <c r="S50" s="258">
        <f t="shared" si="9"/>
        <v>1668907.9550199998</v>
      </c>
      <c r="T50" s="221"/>
      <c r="U50" s="264">
        <v>7</v>
      </c>
      <c r="V50" s="296" t="s">
        <v>291</v>
      </c>
      <c r="W50" s="219" t="s">
        <v>291</v>
      </c>
      <c r="X50" t="s">
        <v>291</v>
      </c>
      <c r="Z50" s="22" t="str">
        <f>C50&amp;A50</f>
        <v>7A2</v>
      </c>
      <c r="AA50" s="23">
        <v>7</v>
      </c>
      <c r="AB50" s="117">
        <v>7.15</v>
      </c>
      <c r="AC50" s="26"/>
      <c r="AE50" s="153"/>
      <c r="AF50" s="153"/>
    </row>
    <row r="51" spans="1:32" ht="15.75" customHeight="1" x14ac:dyDescent="0.25">
      <c r="A51" s="247" t="s">
        <v>67</v>
      </c>
      <c r="B51" s="221">
        <v>30</v>
      </c>
      <c r="C51" s="248">
        <v>8</v>
      </c>
      <c r="D51" s="221" t="s">
        <v>43</v>
      </c>
      <c r="E51" s="221">
        <v>-1</v>
      </c>
      <c r="F51" s="221">
        <v>3</v>
      </c>
      <c r="G51" s="221">
        <v>79.56</v>
      </c>
      <c r="H51" s="158">
        <f t="shared" si="8"/>
        <v>90</v>
      </c>
      <c r="I51" s="221">
        <f t="shared" si="11"/>
        <v>79.56</v>
      </c>
      <c r="J51" s="221">
        <v>33.39</v>
      </c>
      <c r="K51" s="248">
        <f>AB51</f>
        <v>4.79</v>
      </c>
      <c r="L51" s="221">
        <v>1</v>
      </c>
      <c r="M51" s="258">
        <f>$K$6*(I51*$AK$12+IF(J51&gt;30,30*$AK$13+IF(J51&gt;60,30*$AK$14+IF(J51&gt;120,60*$AK$15,(J51-60)*$AK$15),(J51-30)*$AK$14),J51*$AK$13)+$AK$17*K51+L51*$AK$18)</f>
        <v>1678512.9184999999</v>
      </c>
      <c r="N51" s="221" t="s">
        <v>39</v>
      </c>
      <c r="O51" s="258">
        <f t="shared" si="15"/>
        <v>1678512.9184999999</v>
      </c>
      <c r="P51" s="258">
        <f t="shared" si="12"/>
        <v>1258884.688875</v>
      </c>
      <c r="Q51" s="258">
        <f t="shared" si="13"/>
        <v>2152463.9894999997</v>
      </c>
      <c r="R51" s="258">
        <f t="shared" si="14"/>
        <v>1652463.9894999997</v>
      </c>
      <c r="S51" s="258">
        <f t="shared" si="9"/>
        <v>1652463.9894999997</v>
      </c>
      <c r="T51" s="221"/>
      <c r="U51" s="264">
        <v>8</v>
      </c>
      <c r="V51" s="296" t="s">
        <v>291</v>
      </c>
      <c r="W51" s="219" t="s">
        <v>291</v>
      </c>
      <c r="X51" t="s">
        <v>291</v>
      </c>
      <c r="Z51" s="22" t="str">
        <f>C51&amp;A51</f>
        <v>8A2</v>
      </c>
      <c r="AA51" s="23">
        <v>8</v>
      </c>
      <c r="AB51" s="117">
        <v>4.79</v>
      </c>
      <c r="AC51" s="26"/>
      <c r="AE51" s="153"/>
      <c r="AF51" s="153"/>
    </row>
    <row r="52" spans="1:32" ht="15.75" customHeight="1" x14ac:dyDescent="0.25">
      <c r="A52" s="247" t="s">
        <v>67</v>
      </c>
      <c r="B52" s="221">
        <v>30</v>
      </c>
      <c r="C52" s="248">
        <v>9</v>
      </c>
      <c r="D52" s="221" t="s">
        <v>70</v>
      </c>
      <c r="E52" s="221">
        <v>0</v>
      </c>
      <c r="F52" s="221">
        <v>3</v>
      </c>
      <c r="G52" s="221">
        <v>79.83</v>
      </c>
      <c r="H52" s="158">
        <f t="shared" si="8"/>
        <v>90</v>
      </c>
      <c r="I52" s="221">
        <f t="shared" si="11"/>
        <v>79.83</v>
      </c>
      <c r="J52" s="221">
        <v>8.4</v>
      </c>
      <c r="K52" s="248">
        <f>AB52</f>
        <v>5.01</v>
      </c>
      <c r="L52" s="221">
        <v>1</v>
      </c>
      <c r="M52" s="258">
        <f>$K$6*(I52*$AK$12+IF(J52&gt;30,30*$AK$13+IF(J52&gt;60,30*$AK$14+IF(J52&gt;120,60*$AK$15,(J52-60)*$AK$15),(J52-30)*$AK$14),J52*$AK$13)+$AK$17*K52+L52*$AK$18)</f>
        <v>1554954.0824599999</v>
      </c>
      <c r="N52" s="221" t="s">
        <v>39</v>
      </c>
      <c r="O52" s="258">
        <f t="shared" si="15"/>
        <v>1554954.0824599999</v>
      </c>
      <c r="P52" s="258">
        <f t="shared" si="12"/>
        <v>1166215.5618449999</v>
      </c>
      <c r="Q52" s="258">
        <f t="shared" si="13"/>
        <v>1994016.6268199997</v>
      </c>
      <c r="R52" s="258">
        <f t="shared" si="14"/>
        <v>1494016.6268199997</v>
      </c>
      <c r="S52" s="258">
        <f t="shared" si="9"/>
        <v>1494016.6268199997</v>
      </c>
      <c r="T52" s="221"/>
      <c r="U52" s="264">
        <v>9</v>
      </c>
      <c r="V52" s="296" t="s">
        <v>291</v>
      </c>
      <c r="W52" s="219" t="s">
        <v>291</v>
      </c>
      <c r="X52" t="s">
        <v>291</v>
      </c>
      <c r="Z52" s="22" t="str">
        <f>C52&amp;A52</f>
        <v>9A2</v>
      </c>
      <c r="AA52" s="23">
        <v>9</v>
      </c>
      <c r="AB52" s="117">
        <v>5.01</v>
      </c>
      <c r="AC52" s="26"/>
      <c r="AE52" s="153"/>
      <c r="AF52" s="153"/>
    </row>
    <row r="53" spans="1:32" ht="15.75" customHeight="1" x14ac:dyDescent="0.25">
      <c r="A53" s="247" t="s">
        <v>67</v>
      </c>
      <c r="B53" s="221">
        <v>30</v>
      </c>
      <c r="C53" s="248">
        <v>10</v>
      </c>
      <c r="D53" s="221" t="s">
        <v>71</v>
      </c>
      <c r="E53" s="221">
        <v>0</v>
      </c>
      <c r="F53" s="221">
        <v>3</v>
      </c>
      <c r="G53" s="221">
        <v>80.510000000000005</v>
      </c>
      <c r="H53" s="158">
        <f t="shared" si="8"/>
        <v>90</v>
      </c>
      <c r="I53" s="221">
        <f t="shared" si="11"/>
        <v>80.510000000000005</v>
      </c>
      <c r="J53" s="221">
        <v>8.4</v>
      </c>
      <c r="K53" s="260">
        <f>AB53</f>
        <v>4.92</v>
      </c>
      <c r="L53" s="221">
        <v>1</v>
      </c>
      <c r="M53" s="258">
        <f>$K$6*(I53*$AK$12+IF(J53&gt;30,30*$AK$13+IF(J53&gt;60,30*$AK$14+IF(J53&gt;120,60*$AK$15,(J53-60)*$AK$15),(J53-30)*$AK$14),J53*$AK$13)+$AK$17*K53+L53*$AK$18)</f>
        <v>1566781.1009199999</v>
      </c>
      <c r="N53" s="221" t="s">
        <v>39</v>
      </c>
      <c r="O53" s="258">
        <f t="shared" si="15"/>
        <v>1566781.1009199999</v>
      </c>
      <c r="P53" s="258">
        <f t="shared" si="12"/>
        <v>1175085.8256899999</v>
      </c>
      <c r="Q53" s="258">
        <f t="shared" si="13"/>
        <v>2009183.1656399998</v>
      </c>
      <c r="R53" s="258">
        <f t="shared" si="14"/>
        <v>1509183.1656399998</v>
      </c>
      <c r="S53" s="258">
        <f t="shared" si="9"/>
        <v>1509183.1656399998</v>
      </c>
      <c r="T53" s="221"/>
      <c r="U53" s="264">
        <v>10</v>
      </c>
      <c r="V53" s="113" t="s">
        <v>291</v>
      </c>
      <c r="W53" t="s">
        <v>291</v>
      </c>
      <c r="X53" t="s">
        <v>291</v>
      </c>
      <c r="Z53" s="22" t="str">
        <f>C53&amp;A53</f>
        <v>10A2</v>
      </c>
      <c r="AA53" s="23">
        <v>10</v>
      </c>
      <c r="AB53" s="117">
        <v>4.92</v>
      </c>
      <c r="AC53" s="26"/>
      <c r="AE53" s="153"/>
      <c r="AF53" s="153"/>
    </row>
    <row r="54" spans="1:32" ht="15.75" customHeight="1" x14ac:dyDescent="0.25">
      <c r="A54" s="247" t="s">
        <v>67</v>
      </c>
      <c r="B54" s="221">
        <v>30</v>
      </c>
      <c r="C54" s="248">
        <v>11</v>
      </c>
      <c r="D54" s="221" t="s">
        <v>47</v>
      </c>
      <c r="E54" s="221">
        <v>1</v>
      </c>
      <c r="F54" s="221">
        <v>3</v>
      </c>
      <c r="G54" s="221">
        <v>79.8</v>
      </c>
      <c r="H54" s="158">
        <f t="shared" si="8"/>
        <v>90</v>
      </c>
      <c r="I54" s="221">
        <f t="shared" si="11"/>
        <v>79.8</v>
      </c>
      <c r="J54" s="221">
        <v>23.21</v>
      </c>
      <c r="K54" s="248">
        <f>AB54</f>
        <v>5.01</v>
      </c>
      <c r="L54" s="221">
        <v>1</v>
      </c>
      <c r="M54" s="258">
        <f>$K$6*(I54*$AK$12+IF(J54&gt;30,30*$AK$13+IF(J54&gt;60,30*$AK$14+IF(J54&gt;120,60*$AK$15,(J54-60)*$AK$15),(J54-30)*$AK$14),J54*$AK$13)+$AK$17*K54+L54*$AK$18)</f>
        <v>1634881.5441199997</v>
      </c>
      <c r="N54" s="221" t="s">
        <v>39</v>
      </c>
      <c r="O54" s="258">
        <f t="shared" si="15"/>
        <v>1634881.5441199997</v>
      </c>
      <c r="P54" s="258">
        <f t="shared" si="12"/>
        <v>1226161.1580899998</v>
      </c>
      <c r="Q54" s="258">
        <f t="shared" si="13"/>
        <v>2096512.7000399996</v>
      </c>
      <c r="R54" s="258">
        <f t="shared" si="14"/>
        <v>1596512.7000399996</v>
      </c>
      <c r="S54" s="258">
        <f t="shared" si="9"/>
        <v>1596512.7000399996</v>
      </c>
      <c r="T54" s="221"/>
      <c r="U54" s="264">
        <v>11</v>
      </c>
      <c r="V54" s="296" t="s">
        <v>291</v>
      </c>
      <c r="W54" s="219" t="s">
        <v>291</v>
      </c>
      <c r="X54" t="s">
        <v>291</v>
      </c>
      <c r="Z54" s="22" t="str">
        <f>C54&amp;A54</f>
        <v>11A2</v>
      </c>
      <c r="AA54" s="23">
        <v>11</v>
      </c>
      <c r="AB54" s="117">
        <v>5.01</v>
      </c>
      <c r="AC54" s="26"/>
      <c r="AE54" s="153"/>
      <c r="AF54" s="153"/>
    </row>
    <row r="55" spans="1:32" ht="15.75" customHeight="1" x14ac:dyDescent="0.25">
      <c r="A55" s="247" t="s">
        <v>67</v>
      </c>
      <c r="B55" s="221">
        <v>30</v>
      </c>
      <c r="C55" s="248">
        <v>12</v>
      </c>
      <c r="D55" s="221" t="s">
        <v>72</v>
      </c>
      <c r="E55" s="221">
        <v>1</v>
      </c>
      <c r="F55" s="221">
        <v>3</v>
      </c>
      <c r="G55" s="221">
        <v>79.849999999999994</v>
      </c>
      <c r="H55" s="158">
        <f t="shared" si="8"/>
        <v>90</v>
      </c>
      <c r="I55" s="221">
        <f t="shared" si="11"/>
        <v>79.849999999999994</v>
      </c>
      <c r="J55" s="221">
        <v>23.21</v>
      </c>
      <c r="K55" s="248">
        <f>AB55</f>
        <v>7.82</v>
      </c>
      <c r="L55" s="221">
        <v>1</v>
      </c>
      <c r="M55" s="258">
        <f>$K$6*(I55*$AK$12+IF(J55&gt;30,30*$AK$13+IF(J55&gt;60,30*$AK$14+IF(J55&gt;120,60*$AK$15,(J55-60)*$AK$15),(J55-30)*$AK$14),J55*$AK$13)+$AK$17*K55+L55*$AK$18)</f>
        <v>1651055.3993799998</v>
      </c>
      <c r="N55" s="221" t="s">
        <v>39</v>
      </c>
      <c r="O55" s="258">
        <f t="shared" si="15"/>
        <v>1651055.3993799998</v>
      </c>
      <c r="P55" s="258">
        <f t="shared" si="12"/>
        <v>1238291.5495349998</v>
      </c>
      <c r="Q55" s="258">
        <f t="shared" si="13"/>
        <v>2117253.4644599995</v>
      </c>
      <c r="R55" s="258">
        <f t="shared" si="14"/>
        <v>1617253.4644599995</v>
      </c>
      <c r="S55" s="258">
        <f t="shared" si="9"/>
        <v>1617253.4644599995</v>
      </c>
      <c r="T55" s="221"/>
      <c r="U55" s="264">
        <v>12</v>
      </c>
      <c r="V55" s="113" t="s">
        <v>291</v>
      </c>
      <c r="W55" t="s">
        <v>291</v>
      </c>
      <c r="X55" t="s">
        <v>291</v>
      </c>
      <c r="Z55" s="22" t="str">
        <f>C55&amp;A55</f>
        <v>12A2</v>
      </c>
      <c r="AA55" s="23">
        <v>12</v>
      </c>
      <c r="AB55" s="117">
        <v>7.82</v>
      </c>
      <c r="AC55" s="26"/>
      <c r="AE55" s="153"/>
      <c r="AF55" s="153"/>
    </row>
    <row r="56" spans="1:32" ht="15.75" customHeight="1" x14ac:dyDescent="0.25">
      <c r="A56" s="247" t="s">
        <v>67</v>
      </c>
      <c r="B56" s="221">
        <v>30</v>
      </c>
      <c r="C56" s="248">
        <v>13</v>
      </c>
      <c r="D56" s="221" t="s">
        <v>73</v>
      </c>
      <c r="E56" s="221">
        <v>1</v>
      </c>
      <c r="F56" s="221">
        <v>3</v>
      </c>
      <c r="G56" s="221">
        <v>79.39</v>
      </c>
      <c r="H56" s="158">
        <f t="shared" si="8"/>
        <v>90</v>
      </c>
      <c r="I56" s="221">
        <f t="shared" si="11"/>
        <v>79.39</v>
      </c>
      <c r="J56" s="221">
        <v>29.74</v>
      </c>
      <c r="K56" s="260">
        <f>AB56</f>
        <v>8.86</v>
      </c>
      <c r="L56" s="221">
        <v>1</v>
      </c>
      <c r="M56" s="258">
        <f>$K$6*(I56*$AK$12+IF(J56&gt;30,30*$AK$13+IF(J56&gt;60,30*$AK$14+IF(J56&gt;120,60*$AK$15,(J56-60)*$AK$15),(J56-30)*$AK$14),J56*$AK$13)+$AK$17*K56+L56*$AK$18)</f>
        <v>1683855.9054</v>
      </c>
      <c r="N56" s="221" t="s">
        <v>39</v>
      </c>
      <c r="O56" s="258">
        <f t="shared" si="15"/>
        <v>1683855.9054</v>
      </c>
      <c r="P56" s="258">
        <f t="shared" si="12"/>
        <v>1262891.9290499999</v>
      </c>
      <c r="Q56" s="258">
        <f t="shared" si="13"/>
        <v>2159315.6417999999</v>
      </c>
      <c r="R56" s="258">
        <f t="shared" si="14"/>
        <v>1659315.6417999999</v>
      </c>
      <c r="S56" s="258">
        <f t="shared" si="9"/>
        <v>1659315.6417999999</v>
      </c>
      <c r="T56" s="221"/>
      <c r="U56" s="264">
        <v>13</v>
      </c>
      <c r="V56" s="296" t="s">
        <v>291</v>
      </c>
      <c r="W56" s="219" t="s">
        <v>291</v>
      </c>
      <c r="X56" t="s">
        <v>291</v>
      </c>
      <c r="Z56" s="22" t="str">
        <f>C56&amp;A56</f>
        <v>13A2</v>
      </c>
      <c r="AA56" s="23">
        <v>13</v>
      </c>
      <c r="AB56" s="117">
        <v>8.86</v>
      </c>
      <c r="AC56" s="26"/>
      <c r="AE56" s="153"/>
      <c r="AF56" s="153"/>
    </row>
    <row r="57" spans="1:32" ht="15.75" customHeight="1" x14ac:dyDescent="0.25">
      <c r="A57" s="247" t="s">
        <v>67</v>
      </c>
      <c r="B57" s="221">
        <v>30</v>
      </c>
      <c r="C57" s="248">
        <v>14</v>
      </c>
      <c r="D57" s="221" t="s">
        <v>50</v>
      </c>
      <c r="E57" s="221">
        <v>1</v>
      </c>
      <c r="F57" s="221">
        <v>3</v>
      </c>
      <c r="G57" s="221">
        <v>79.430000000000007</v>
      </c>
      <c r="H57" s="158">
        <f t="shared" si="8"/>
        <v>90</v>
      </c>
      <c r="I57" s="221">
        <f t="shared" si="11"/>
        <v>79.430000000000007</v>
      </c>
      <c r="J57" s="221">
        <v>29.74</v>
      </c>
      <c r="K57" s="248">
        <f>AB57</f>
        <v>4.9000000000000004</v>
      </c>
      <c r="L57" s="221">
        <v>1</v>
      </c>
      <c r="M57" s="258">
        <f>$K$6*(I57*$AK$12+IF(J57&gt;30,30*$AK$13+IF(J57&gt;60,30*$AK$14+IF(J57&gt;120,60*$AK$15,(J57-60)*$AK$15),(J57-30)*$AK$14),J57*$AK$13)+$AK$17*K57+L57*$AK$18)</f>
        <v>1663063.5360399999</v>
      </c>
      <c r="N57" s="221" t="s">
        <v>39</v>
      </c>
      <c r="O57" s="258">
        <f t="shared" si="15"/>
        <v>1663063.5360399999</v>
      </c>
      <c r="P57" s="258">
        <f t="shared" si="12"/>
        <v>1247297.65203</v>
      </c>
      <c r="Q57" s="258">
        <f t="shared" si="13"/>
        <v>2132652.2626800002</v>
      </c>
      <c r="R57" s="258">
        <f t="shared" si="14"/>
        <v>1632652.2626800002</v>
      </c>
      <c r="S57" s="258">
        <f t="shared" si="9"/>
        <v>1632652.2626800002</v>
      </c>
      <c r="T57" s="221"/>
      <c r="U57" s="264">
        <v>14</v>
      </c>
      <c r="V57" s="296" t="s">
        <v>291</v>
      </c>
      <c r="W57" s="219" t="s">
        <v>291</v>
      </c>
      <c r="X57" t="s">
        <v>291</v>
      </c>
      <c r="Z57" s="22" t="str">
        <f>C57&amp;A57</f>
        <v>14A2</v>
      </c>
      <c r="AA57" s="23">
        <v>14</v>
      </c>
      <c r="AB57" s="117">
        <v>4.9000000000000004</v>
      </c>
      <c r="AC57" s="26"/>
      <c r="AE57" s="153"/>
      <c r="AF57" s="153"/>
    </row>
    <row r="58" spans="1:32" ht="15.75" customHeight="1" x14ac:dyDescent="0.25">
      <c r="A58" s="247" t="s">
        <v>67</v>
      </c>
      <c r="B58" s="221">
        <v>30</v>
      </c>
      <c r="C58" s="248">
        <v>15</v>
      </c>
      <c r="D58" s="221" t="s">
        <v>51</v>
      </c>
      <c r="E58" s="221">
        <v>2</v>
      </c>
      <c r="F58" s="221">
        <v>3</v>
      </c>
      <c r="G58" s="221">
        <v>79.8</v>
      </c>
      <c r="H58" s="158">
        <f t="shared" si="8"/>
        <v>90</v>
      </c>
      <c r="I58" s="221">
        <f t="shared" si="11"/>
        <v>79.8</v>
      </c>
      <c r="J58" s="221">
        <v>15.97</v>
      </c>
      <c r="K58" s="248">
        <f>AB58</f>
        <v>4.9400000000000004</v>
      </c>
      <c r="L58" s="221">
        <v>1</v>
      </c>
      <c r="M58" s="258">
        <f>$K$6*(I58*$AK$12+IF(J58&gt;30,30*$AK$13+IF(J58&gt;60,30*$AK$14+IF(J58&gt;120,60*$AK$15,(J58-60)*$AK$15),(J58-30)*$AK$14),J58*$AK$13)+$AK$17*K58+L58*$AK$18)</f>
        <v>1595162.32286</v>
      </c>
      <c r="N58" s="221" t="s">
        <v>39</v>
      </c>
      <c r="O58" s="258">
        <f t="shared" si="15"/>
        <v>1595162.32286</v>
      </c>
      <c r="P58" s="258">
        <f t="shared" si="12"/>
        <v>1196371.742145</v>
      </c>
      <c r="Q58" s="258">
        <f t="shared" si="13"/>
        <v>2045578.2136199998</v>
      </c>
      <c r="R58" s="258">
        <f t="shared" si="14"/>
        <v>1545578.2136199998</v>
      </c>
      <c r="S58" s="258">
        <f t="shared" si="9"/>
        <v>1545578.2136199998</v>
      </c>
      <c r="T58" s="221"/>
      <c r="U58" s="264">
        <v>15</v>
      </c>
      <c r="V58" s="296" t="s">
        <v>291</v>
      </c>
      <c r="W58" s="219" t="s">
        <v>291</v>
      </c>
      <c r="X58" t="s">
        <v>291</v>
      </c>
      <c r="Z58" s="22" t="str">
        <f>C58&amp;A58</f>
        <v>15A2</v>
      </c>
      <c r="AA58" s="23">
        <v>15</v>
      </c>
      <c r="AB58" s="117">
        <v>4.9400000000000004</v>
      </c>
      <c r="AC58" s="26"/>
      <c r="AE58" s="153"/>
      <c r="AF58" s="153"/>
    </row>
    <row r="59" spans="1:32" ht="15.75" customHeight="1" x14ac:dyDescent="0.25">
      <c r="A59" s="247" t="s">
        <v>67</v>
      </c>
      <c r="B59" s="221">
        <v>30</v>
      </c>
      <c r="C59" s="248">
        <v>16</v>
      </c>
      <c r="D59" s="221" t="s">
        <v>74</v>
      </c>
      <c r="E59" s="221">
        <v>2</v>
      </c>
      <c r="F59" s="221">
        <v>3</v>
      </c>
      <c r="G59" s="221">
        <v>79.849999999999994</v>
      </c>
      <c r="H59" s="158">
        <f t="shared" si="8"/>
        <v>90</v>
      </c>
      <c r="I59" s="221">
        <f t="shared" si="11"/>
        <v>79.849999999999994</v>
      </c>
      <c r="J59" s="221">
        <v>15.97</v>
      </c>
      <c r="K59" s="260">
        <f>AB59</f>
        <v>4.9400000000000004</v>
      </c>
      <c r="L59" s="221">
        <v>1</v>
      </c>
      <c r="M59" s="258">
        <f>$K$6*(I59*$AK$12+IF(J59&gt;30,30*$AK$13+IF(J59&gt;60,30*$AK$14+IF(J59&gt;120,60*$AK$15,(J59-60)*$AK$15),(J59-30)*$AK$14),J59*$AK$13)+$AK$17*K59+L59*$AK$18)</f>
        <v>1596067.9138599997</v>
      </c>
      <c r="N59" s="221" t="s">
        <v>39</v>
      </c>
      <c r="O59" s="258">
        <f t="shared" si="15"/>
        <v>1596067.9138599997</v>
      </c>
      <c r="P59" s="258">
        <f t="shared" si="12"/>
        <v>1197050.9353949998</v>
      </c>
      <c r="Q59" s="258">
        <f t="shared" si="13"/>
        <v>2046739.5106199996</v>
      </c>
      <c r="R59" s="258">
        <f t="shared" si="14"/>
        <v>1546739.5106199996</v>
      </c>
      <c r="S59" s="258">
        <f t="shared" si="9"/>
        <v>1546739.5106199996</v>
      </c>
      <c r="T59" s="221"/>
      <c r="U59" s="264">
        <v>16</v>
      </c>
      <c r="V59" s="113" t="s">
        <v>291</v>
      </c>
      <c r="W59" t="s">
        <v>291</v>
      </c>
      <c r="X59" t="s">
        <v>291</v>
      </c>
      <c r="Z59" s="22" t="str">
        <f>C59&amp;A59</f>
        <v>16A2</v>
      </c>
      <c r="AA59" s="23">
        <v>16</v>
      </c>
      <c r="AB59" s="117">
        <v>4.9400000000000004</v>
      </c>
      <c r="AC59" s="26"/>
      <c r="AE59" s="153"/>
      <c r="AF59" s="153"/>
    </row>
    <row r="60" spans="1:32" ht="15.75" customHeight="1" x14ac:dyDescent="0.25">
      <c r="A60" s="247" t="s">
        <v>67</v>
      </c>
      <c r="B60" s="221">
        <v>30</v>
      </c>
      <c r="C60" s="248">
        <v>17</v>
      </c>
      <c r="D60" s="221" t="s">
        <v>75</v>
      </c>
      <c r="E60" s="221">
        <v>2</v>
      </c>
      <c r="F60" s="221">
        <v>3</v>
      </c>
      <c r="G60" s="221">
        <v>79.39</v>
      </c>
      <c r="H60" s="158">
        <f t="shared" si="8"/>
        <v>90</v>
      </c>
      <c r="I60" s="221">
        <f t="shared" si="11"/>
        <v>79.39</v>
      </c>
      <c r="J60" s="221">
        <v>18.18</v>
      </c>
      <c r="K60" s="248">
        <f>AB60</f>
        <v>4.9400000000000004</v>
      </c>
      <c r="L60" s="221">
        <v>1</v>
      </c>
      <c r="M60" s="258">
        <f>$K$6*(I60*$AK$12+IF(J60&gt;30,30*$AK$13+IF(J60&gt;60,30*$AK$14+IF(J60&gt;120,60*$AK$15,(J60-60)*$AK$15),(J60-30)*$AK$14),J60*$AK$13)+$AK$17*K60+L60*$AK$18)</f>
        <v>1599744.6133199998</v>
      </c>
      <c r="N60" s="221" t="s">
        <v>39</v>
      </c>
      <c r="O60" s="258">
        <f t="shared" si="15"/>
        <v>1599744.6133199998</v>
      </c>
      <c r="P60" s="258">
        <f t="shared" si="12"/>
        <v>1199808.4599899999</v>
      </c>
      <c r="Q60" s="258">
        <f t="shared" si="13"/>
        <v>2051454.3764399998</v>
      </c>
      <c r="R60" s="258">
        <f t="shared" si="14"/>
        <v>1551454.3764399998</v>
      </c>
      <c r="S60" s="258">
        <f t="shared" si="9"/>
        <v>1551454.3764399998</v>
      </c>
      <c r="T60" s="221"/>
      <c r="U60" s="264">
        <v>17</v>
      </c>
      <c r="V60" s="296" t="s">
        <v>291</v>
      </c>
      <c r="W60" s="219" t="s">
        <v>291</v>
      </c>
      <c r="X60" t="s">
        <v>291</v>
      </c>
      <c r="Z60" s="22" t="str">
        <f>C60&amp;A60</f>
        <v>17A2</v>
      </c>
      <c r="AA60" s="23">
        <v>17</v>
      </c>
      <c r="AB60" s="117">
        <v>4.9400000000000004</v>
      </c>
      <c r="AC60" s="26"/>
      <c r="AE60" s="153"/>
      <c r="AF60" s="153"/>
    </row>
    <row r="61" spans="1:32" ht="15.75" customHeight="1" x14ac:dyDescent="0.25">
      <c r="A61" s="247" t="s">
        <v>67</v>
      </c>
      <c r="B61" s="221">
        <v>30</v>
      </c>
      <c r="C61" s="248">
        <v>18</v>
      </c>
      <c r="D61" s="221" t="s">
        <v>54</v>
      </c>
      <c r="E61" s="221">
        <v>2</v>
      </c>
      <c r="F61" s="221">
        <v>3</v>
      </c>
      <c r="G61" s="221">
        <v>79.430000000000007</v>
      </c>
      <c r="H61" s="158">
        <f t="shared" si="8"/>
        <v>90</v>
      </c>
      <c r="I61" s="221">
        <f t="shared" si="11"/>
        <v>79.430000000000007</v>
      </c>
      <c r="J61" s="221">
        <v>18.18</v>
      </c>
      <c r="K61" s="248">
        <f>AB61</f>
        <v>5.49</v>
      </c>
      <c r="L61" s="221">
        <v>1</v>
      </c>
      <c r="M61" s="258">
        <f>$K$6*(I61*$AK$12+IF(J61&gt;30,30*$AK$13+IF(J61&gt;60,30*$AK$14+IF(J61&gt;120,60*$AK$15,(J61-60)*$AK$15),(J61-30)*$AK$14),J61*$AK$13)+$AK$17*K61+L61*$AK$18)</f>
        <v>1603457.53642</v>
      </c>
      <c r="N61" s="221" t="s">
        <v>39</v>
      </c>
      <c r="O61" s="258">
        <f t="shared" si="15"/>
        <v>1603457.53642</v>
      </c>
      <c r="P61" s="258">
        <f t="shared" si="12"/>
        <v>1202593.1523150001</v>
      </c>
      <c r="Q61" s="258">
        <f t="shared" si="13"/>
        <v>2056215.69414</v>
      </c>
      <c r="R61" s="258">
        <f t="shared" si="14"/>
        <v>1556215.69414</v>
      </c>
      <c r="S61" s="258">
        <f t="shared" si="9"/>
        <v>1556215.69414</v>
      </c>
      <c r="T61" s="221"/>
      <c r="U61" s="264">
        <v>18</v>
      </c>
      <c r="V61" s="296" t="s">
        <v>291</v>
      </c>
      <c r="W61" s="219" t="s">
        <v>291</v>
      </c>
      <c r="X61" t="s">
        <v>291</v>
      </c>
      <c r="Z61" s="22" t="str">
        <f>C61&amp;A61</f>
        <v>18A2</v>
      </c>
      <c r="AA61" s="23">
        <v>18</v>
      </c>
      <c r="AB61" s="117">
        <v>5.49</v>
      </c>
      <c r="AC61" s="26"/>
      <c r="AE61" s="153"/>
      <c r="AF61" s="153"/>
    </row>
    <row r="62" spans="1:32" ht="15.75" customHeight="1" x14ac:dyDescent="0.25">
      <c r="A62" s="247" t="s">
        <v>67</v>
      </c>
      <c r="B62" s="221">
        <v>30</v>
      </c>
      <c r="C62" s="248">
        <v>19</v>
      </c>
      <c r="D62" s="221" t="s">
        <v>55</v>
      </c>
      <c r="E62" s="221">
        <v>3</v>
      </c>
      <c r="F62" s="221">
        <v>3</v>
      </c>
      <c r="G62" s="221">
        <v>79.8</v>
      </c>
      <c r="H62" s="158">
        <f t="shared" si="8"/>
        <v>90</v>
      </c>
      <c r="I62" s="221">
        <f t="shared" si="11"/>
        <v>79.8</v>
      </c>
      <c r="J62" s="221">
        <v>15.37</v>
      </c>
      <c r="K62" s="260">
        <f>AB62</f>
        <v>5.66</v>
      </c>
      <c r="L62" s="221">
        <v>1</v>
      </c>
      <c r="M62" s="258">
        <f>$K$6*(I62*$AK$12+IF(J62&gt;30,30*$AK$13+IF(J62&gt;60,30*$AK$14+IF(J62&gt;120,60*$AK$15,(J62-60)*$AK$15),(J62-30)*$AK$14),J62*$AK$13)+$AK$17*K62+L62*$AK$18)</f>
        <v>1595814.3483799999</v>
      </c>
      <c r="N62" s="221" t="s">
        <v>39</v>
      </c>
      <c r="O62" s="258">
        <f t="shared" si="15"/>
        <v>1595814.3483799999</v>
      </c>
      <c r="P62" s="258">
        <f t="shared" si="12"/>
        <v>1196860.761285</v>
      </c>
      <c r="Q62" s="258">
        <f t="shared" si="13"/>
        <v>2046414.3474599998</v>
      </c>
      <c r="R62" s="258">
        <f t="shared" si="14"/>
        <v>1546414.3474599998</v>
      </c>
      <c r="S62" s="258">
        <f t="shared" si="9"/>
        <v>1546414.3474599998</v>
      </c>
      <c r="T62" s="221"/>
      <c r="U62" s="264">
        <v>19</v>
      </c>
      <c r="V62" s="296" t="s">
        <v>291</v>
      </c>
      <c r="W62" s="219" t="s">
        <v>291</v>
      </c>
      <c r="X62" t="s">
        <v>291</v>
      </c>
      <c r="Z62" s="22" t="str">
        <f>C62&amp;A62</f>
        <v>19A2</v>
      </c>
      <c r="AA62" s="23">
        <v>19</v>
      </c>
      <c r="AB62" s="117">
        <v>5.66</v>
      </c>
      <c r="AC62" s="26"/>
      <c r="AE62" s="153"/>
      <c r="AF62" s="153"/>
    </row>
    <row r="63" spans="1:32" ht="15.75" customHeight="1" x14ac:dyDescent="0.25">
      <c r="A63" s="247" t="s">
        <v>67</v>
      </c>
      <c r="B63" s="221">
        <v>30</v>
      </c>
      <c r="C63" s="248">
        <v>20</v>
      </c>
      <c r="D63" s="221" t="s">
        <v>76</v>
      </c>
      <c r="E63" s="221">
        <v>3</v>
      </c>
      <c r="F63" s="221">
        <v>3</v>
      </c>
      <c r="G63" s="221">
        <v>79.849999999999994</v>
      </c>
      <c r="H63" s="158">
        <f t="shared" si="8"/>
        <v>90</v>
      </c>
      <c r="I63" s="221">
        <f t="shared" si="11"/>
        <v>79.849999999999994</v>
      </c>
      <c r="J63" s="221">
        <v>15.37</v>
      </c>
      <c r="K63" s="248">
        <f>AB63</f>
        <v>8.5299999999999994</v>
      </c>
      <c r="L63" s="221">
        <v>1</v>
      </c>
      <c r="M63" s="258">
        <f>$K$6*(I63*$AK$12+IF(J63&gt;30,30*$AK$13+IF(J63&gt;60,30*$AK$14+IF(J63&gt;120,60*$AK$15,(J63-60)*$AK$15),(J63-30)*$AK$14),J63*$AK$13)+$AK$17*K63+L63*$AK$18)</f>
        <v>1612314.2163999998</v>
      </c>
      <c r="N63" s="221" t="s">
        <v>39</v>
      </c>
      <c r="O63" s="258">
        <f t="shared" si="15"/>
        <v>1612314.2163999998</v>
      </c>
      <c r="P63" s="258">
        <f t="shared" si="12"/>
        <v>1209235.6623</v>
      </c>
      <c r="Q63" s="258">
        <f t="shared" si="13"/>
        <v>2067573.1787999999</v>
      </c>
      <c r="R63" s="258">
        <f t="shared" si="14"/>
        <v>1567573.1787999999</v>
      </c>
      <c r="S63" s="258">
        <f t="shared" si="9"/>
        <v>1567573.1787999999</v>
      </c>
      <c r="T63" s="221"/>
      <c r="U63" s="264">
        <v>20</v>
      </c>
      <c r="V63" s="113" t="s">
        <v>291</v>
      </c>
      <c r="W63" t="s">
        <v>291</v>
      </c>
      <c r="X63" t="s">
        <v>291</v>
      </c>
      <c r="Z63" s="22" t="str">
        <f>C63&amp;A63</f>
        <v>20A2</v>
      </c>
      <c r="AA63" s="23">
        <v>20</v>
      </c>
      <c r="AB63" s="117">
        <v>8.5299999999999994</v>
      </c>
      <c r="AC63" s="26"/>
      <c r="AE63" s="153"/>
      <c r="AF63" s="153"/>
    </row>
    <row r="64" spans="1:32" ht="15.75" customHeight="1" x14ac:dyDescent="0.25">
      <c r="A64" s="247" t="s">
        <v>67</v>
      </c>
      <c r="B64" s="221">
        <v>30</v>
      </c>
      <c r="C64" s="248">
        <v>21</v>
      </c>
      <c r="D64" s="221" t="s">
        <v>77</v>
      </c>
      <c r="E64" s="221">
        <v>3</v>
      </c>
      <c r="F64" s="221">
        <v>3</v>
      </c>
      <c r="G64" s="221">
        <v>79.39</v>
      </c>
      <c r="H64" s="158">
        <f t="shared" si="8"/>
        <v>90</v>
      </c>
      <c r="I64" s="221">
        <f t="shared" si="11"/>
        <v>79.39</v>
      </c>
      <c r="J64" s="221">
        <v>18.96</v>
      </c>
      <c r="K64" s="265">
        <f>AB64</f>
        <v>5.87</v>
      </c>
      <c r="L64" s="221">
        <v>1</v>
      </c>
      <c r="M64" s="258">
        <f>$K$6*(I64*$AK$12+IF(J64&gt;30,30*$AK$13+IF(J64&gt;60,30*$AK$14+IF(J64&gt;120,60*$AK$15,(J64-60)*$AK$15),(J64-30)*$AK$14),J64*$AK$13)+$AK$17*K64+L64*$AK$18)</f>
        <v>1609035.97698</v>
      </c>
      <c r="N64" s="221" t="s">
        <v>39</v>
      </c>
      <c r="O64" s="258">
        <f t="shared" si="15"/>
        <v>1609035.97698</v>
      </c>
      <c r="P64" s="258">
        <f t="shared" si="12"/>
        <v>1206776.9827350001</v>
      </c>
      <c r="Q64" s="258">
        <f t="shared" si="13"/>
        <v>2063369.28366</v>
      </c>
      <c r="R64" s="258">
        <f t="shared" si="14"/>
        <v>1563369.28366</v>
      </c>
      <c r="S64" s="258">
        <f t="shared" si="9"/>
        <v>1563369.28366</v>
      </c>
      <c r="T64" s="221"/>
      <c r="U64" s="264">
        <v>21</v>
      </c>
      <c r="V64" s="296" t="s">
        <v>291</v>
      </c>
      <c r="W64" s="219" t="s">
        <v>291</v>
      </c>
      <c r="X64" t="s">
        <v>291</v>
      </c>
      <c r="Z64" s="22" t="str">
        <f>C64&amp;A64</f>
        <v>21A2</v>
      </c>
      <c r="AA64" s="23">
        <v>21</v>
      </c>
      <c r="AB64" s="211">
        <v>5.87</v>
      </c>
      <c r="AC64" s="26"/>
      <c r="AE64" s="153"/>
      <c r="AF64" s="153"/>
    </row>
    <row r="65" spans="1:33" ht="15.75" customHeight="1" x14ac:dyDescent="0.25">
      <c r="A65" s="247" t="s">
        <v>67</v>
      </c>
      <c r="B65" s="221">
        <v>30</v>
      </c>
      <c r="C65" s="248">
        <v>22</v>
      </c>
      <c r="D65" s="221" t="s">
        <v>58</v>
      </c>
      <c r="E65" s="221">
        <v>3</v>
      </c>
      <c r="F65" s="221">
        <v>3</v>
      </c>
      <c r="G65" s="221">
        <v>79.430000000000007</v>
      </c>
      <c r="H65" s="158">
        <f t="shared" si="8"/>
        <v>90</v>
      </c>
      <c r="I65" s="221">
        <f t="shared" si="11"/>
        <v>79.430000000000007</v>
      </c>
      <c r="J65" s="221">
        <v>18.96</v>
      </c>
      <c r="K65" s="265">
        <f>AB65</f>
        <v>6.32</v>
      </c>
      <c r="L65" s="221">
        <v>1</v>
      </c>
      <c r="M65" s="258">
        <f>$K$6*(I65*$AK$12+IF(J65&gt;30,30*$AK$13+IF(J65&gt;60,30*$AK$14+IF(J65&gt;120,60*$AK$15,(J65-60)*$AK$15),(J65-30)*$AK$14),J65*$AK$13)+$AK$17*K65+L65*$AK$18)</f>
        <v>1612205.5454800001</v>
      </c>
      <c r="N65" s="221" t="s">
        <v>39</v>
      </c>
      <c r="O65" s="258">
        <f t="shared" si="15"/>
        <v>1612205.5454800001</v>
      </c>
      <c r="P65" s="258">
        <f t="shared" si="12"/>
        <v>1209154.1591100001</v>
      </c>
      <c r="Q65" s="258">
        <f t="shared" si="13"/>
        <v>2067433.8231600001</v>
      </c>
      <c r="R65" s="258">
        <f t="shared" si="14"/>
        <v>1567433.8231600001</v>
      </c>
      <c r="S65" s="258">
        <f t="shared" si="9"/>
        <v>1567433.8231600001</v>
      </c>
      <c r="T65" s="221"/>
      <c r="U65" s="264">
        <v>22</v>
      </c>
      <c r="V65" s="296" t="s">
        <v>291</v>
      </c>
      <c r="W65" s="219" t="s">
        <v>291</v>
      </c>
      <c r="X65" t="s">
        <v>291</v>
      </c>
      <c r="Z65" s="22" t="str">
        <f>C65&amp;A65</f>
        <v>22A2</v>
      </c>
      <c r="AA65" s="23">
        <v>22</v>
      </c>
      <c r="AB65" s="211">
        <v>6.32</v>
      </c>
      <c r="AC65" s="26"/>
      <c r="AE65" s="153"/>
      <c r="AF65" s="153"/>
    </row>
    <row r="66" spans="1:33" ht="15.75" customHeight="1" x14ac:dyDescent="0.25">
      <c r="A66" s="247" t="s">
        <v>67</v>
      </c>
      <c r="B66" s="221">
        <v>30</v>
      </c>
      <c r="C66" s="248">
        <v>23</v>
      </c>
      <c r="D66" s="221" t="s">
        <v>59</v>
      </c>
      <c r="E66" s="221">
        <v>4</v>
      </c>
      <c r="F66" s="221">
        <v>3</v>
      </c>
      <c r="G66" s="221">
        <v>79.8</v>
      </c>
      <c r="H66" s="158">
        <f t="shared" si="8"/>
        <v>90</v>
      </c>
      <c r="I66" s="221">
        <f t="shared" si="11"/>
        <v>79.8</v>
      </c>
      <c r="J66" s="221">
        <v>7.95</v>
      </c>
      <c r="K66" s="260">
        <f>AB66</f>
        <v>7.19</v>
      </c>
      <c r="L66" s="221">
        <v>1</v>
      </c>
      <c r="M66" s="258">
        <f>$K$6*(I66*$AK$12+IF(J66&gt;30,30*$AK$13+IF(J66&gt;60,30*$AK$14+IF(J66&gt;120,60*$AK$15,(J66-60)*$AK$15),(J66-30)*$AK$14),J66*$AK$13)+$AK$17*K66+L66*$AK$18)</f>
        <v>1563810.76244</v>
      </c>
      <c r="N66" s="221" t="s">
        <v>39</v>
      </c>
      <c r="O66" s="258">
        <f t="shared" si="15"/>
        <v>1563810.76244</v>
      </c>
      <c r="P66" s="258">
        <f t="shared" si="12"/>
        <v>1172858.07183</v>
      </c>
      <c r="Q66" s="258">
        <f t="shared" si="13"/>
        <v>2005374.11148</v>
      </c>
      <c r="R66" s="258">
        <f t="shared" si="14"/>
        <v>1505374.11148</v>
      </c>
      <c r="S66" s="258">
        <f t="shared" si="9"/>
        <v>1505374.11148</v>
      </c>
      <c r="T66" s="221"/>
      <c r="U66" s="264">
        <v>23</v>
      </c>
      <c r="V66" s="296" t="s">
        <v>291</v>
      </c>
      <c r="W66" s="219" t="s">
        <v>291</v>
      </c>
      <c r="X66" t="s">
        <v>291</v>
      </c>
      <c r="Z66" s="22" t="str">
        <f>C66&amp;A66</f>
        <v>23A2</v>
      </c>
      <c r="AA66" s="23">
        <v>23</v>
      </c>
      <c r="AB66" s="117">
        <v>7.19</v>
      </c>
      <c r="AC66" s="26"/>
      <c r="AE66" s="153"/>
      <c r="AF66" s="153"/>
    </row>
    <row r="67" spans="1:33" ht="15.75" customHeight="1" x14ac:dyDescent="0.25">
      <c r="A67" s="247" t="s">
        <v>67</v>
      </c>
      <c r="B67" s="221">
        <v>30</v>
      </c>
      <c r="C67" s="248">
        <v>24</v>
      </c>
      <c r="D67" s="221" t="s">
        <v>78</v>
      </c>
      <c r="E67" s="221">
        <v>4</v>
      </c>
      <c r="F67" s="221">
        <v>3</v>
      </c>
      <c r="G67" s="221">
        <v>79.849999999999994</v>
      </c>
      <c r="H67" s="158">
        <f t="shared" si="8"/>
        <v>90</v>
      </c>
      <c r="I67" s="221">
        <f t="shared" si="11"/>
        <v>79.849999999999994</v>
      </c>
      <c r="J67" s="221">
        <v>7.95</v>
      </c>
      <c r="K67" s="248">
        <f>AB67</f>
        <v>6.3</v>
      </c>
      <c r="L67" s="221">
        <v>1</v>
      </c>
      <c r="M67" s="258">
        <f>$K$6*(I67*$AK$12+IF(J67&gt;30,30*$AK$13+IF(J67&gt;60,30*$AK$14+IF(J67&gt;120,60*$AK$15,(J67-60)*$AK$15),(J67-30)*$AK$14),J67*$AK$13)+$AK$17*K67+L67*$AK$18)</f>
        <v>1559880.4975000001</v>
      </c>
      <c r="N67" s="221" t="s">
        <v>39</v>
      </c>
      <c r="O67" s="258">
        <f t="shared" si="15"/>
        <v>1559880.4975000001</v>
      </c>
      <c r="P67" s="258">
        <f t="shared" si="12"/>
        <v>1169910.3731249999</v>
      </c>
      <c r="Q67" s="258">
        <f t="shared" si="13"/>
        <v>2000334.0824999998</v>
      </c>
      <c r="R67" s="258">
        <f t="shared" si="14"/>
        <v>1500334.0824999998</v>
      </c>
      <c r="S67" s="258">
        <f t="shared" si="9"/>
        <v>1500334.0824999998</v>
      </c>
      <c r="T67" s="221"/>
      <c r="U67" s="264">
        <v>24</v>
      </c>
      <c r="V67" s="113" t="s">
        <v>291</v>
      </c>
      <c r="W67" t="s">
        <v>291</v>
      </c>
      <c r="X67" t="s">
        <v>291</v>
      </c>
      <c r="Z67" s="22" t="str">
        <f>C67&amp;A67</f>
        <v>24A2</v>
      </c>
      <c r="AA67" s="23">
        <v>24</v>
      </c>
      <c r="AB67" s="222">
        <v>6.3</v>
      </c>
      <c r="AC67" s="26"/>
      <c r="AE67" s="153"/>
      <c r="AF67" s="153"/>
    </row>
    <row r="68" spans="1:33" ht="15.75" customHeight="1" x14ac:dyDescent="0.25">
      <c r="A68" s="247" t="s">
        <v>67</v>
      </c>
      <c r="B68" s="221">
        <v>30</v>
      </c>
      <c r="C68" s="248">
        <v>25</v>
      </c>
      <c r="D68" s="221" t="s">
        <v>79</v>
      </c>
      <c r="E68" s="221">
        <v>4</v>
      </c>
      <c r="F68" s="221">
        <v>3</v>
      </c>
      <c r="G68" s="221">
        <v>79.39</v>
      </c>
      <c r="H68" s="158">
        <f t="shared" si="8"/>
        <v>90</v>
      </c>
      <c r="I68" s="221">
        <f t="shared" si="11"/>
        <v>79.39</v>
      </c>
      <c r="J68" s="221">
        <v>11.7</v>
      </c>
      <c r="K68" s="248">
        <f>AB68</f>
        <v>5.82</v>
      </c>
      <c r="L68" s="221">
        <v>1</v>
      </c>
      <c r="M68" s="258">
        <f>$K$6*(I68*$AK$12+IF(J68&gt;30,30*$AK$13+IF(J68&gt;60,30*$AK$14+IF(J68&gt;120,60*$AK$15,(J68-60)*$AK$15),(J68-30)*$AK$14),J68*$AK$13)+$AK$17*K68+L68*$AK$18)</f>
        <v>1569316.75572</v>
      </c>
      <c r="N68" s="221" t="s">
        <v>39</v>
      </c>
      <c r="O68" s="258">
        <f t="shared" si="15"/>
        <v>1569316.75572</v>
      </c>
      <c r="P68" s="258">
        <f t="shared" si="12"/>
        <v>1176987.5667900001</v>
      </c>
      <c r="Q68" s="258">
        <f t="shared" si="13"/>
        <v>2012434.79724</v>
      </c>
      <c r="R68" s="258">
        <f t="shared" si="14"/>
        <v>1512434.79724</v>
      </c>
      <c r="S68" s="258">
        <f t="shared" si="9"/>
        <v>1512434.79724</v>
      </c>
      <c r="T68" s="221"/>
      <c r="U68" s="264">
        <v>25</v>
      </c>
      <c r="V68" s="296" t="s">
        <v>291</v>
      </c>
      <c r="W68" s="219" t="s">
        <v>291</v>
      </c>
      <c r="X68" t="s">
        <v>291</v>
      </c>
      <c r="Z68" s="22" t="str">
        <f>C68&amp;A68</f>
        <v>25A2</v>
      </c>
      <c r="AA68" s="23">
        <v>25</v>
      </c>
      <c r="AB68" s="117">
        <v>5.82</v>
      </c>
      <c r="AC68" s="26"/>
      <c r="AE68" s="153"/>
      <c r="AF68" s="153"/>
    </row>
    <row r="69" spans="1:33" ht="15.75" customHeight="1" x14ac:dyDescent="0.25">
      <c r="A69" s="247" t="s">
        <v>67</v>
      </c>
      <c r="B69" s="221">
        <v>30</v>
      </c>
      <c r="C69" s="248">
        <v>26</v>
      </c>
      <c r="D69" s="221" t="s">
        <v>62</v>
      </c>
      <c r="E69" s="221">
        <v>4</v>
      </c>
      <c r="F69" s="221">
        <v>3</v>
      </c>
      <c r="G69" s="221">
        <v>79.430000000000007</v>
      </c>
      <c r="H69" s="158">
        <f t="shared" si="8"/>
        <v>90</v>
      </c>
      <c r="I69" s="221">
        <f t="shared" si="11"/>
        <v>79.430000000000007</v>
      </c>
      <c r="J69" s="221">
        <v>11.7</v>
      </c>
      <c r="K69" s="260">
        <f>AB69</f>
        <v>8.75</v>
      </c>
      <c r="L69" s="221">
        <v>1</v>
      </c>
      <c r="M69" s="258">
        <f>$K$6*(I69*$AK$12+IF(J69&gt;30,30*$AK$13+IF(J69&gt;60,30*$AK$14+IF(J69&gt;120,60*$AK$15,(J69-60)*$AK$15),(J69-30)*$AK$14),J69*$AK$13)+$AK$17*K69+L69*$AK$18)</f>
        <v>1585961.5183000001</v>
      </c>
      <c r="N69" s="221" t="s">
        <v>39</v>
      </c>
      <c r="O69" s="258">
        <f t="shared" si="15"/>
        <v>1585961.5183000001</v>
      </c>
      <c r="P69" s="258">
        <f t="shared" si="12"/>
        <v>1189471.138725</v>
      </c>
      <c r="Q69" s="258">
        <f t="shared" si="13"/>
        <v>2033779.4361</v>
      </c>
      <c r="R69" s="258">
        <f t="shared" si="14"/>
        <v>1533779.4361</v>
      </c>
      <c r="S69" s="258">
        <f t="shared" si="9"/>
        <v>1533779.4361</v>
      </c>
      <c r="T69" s="221"/>
      <c r="U69" s="264">
        <v>26</v>
      </c>
      <c r="V69" s="296" t="s">
        <v>291</v>
      </c>
      <c r="W69" s="219" t="s">
        <v>291</v>
      </c>
      <c r="X69" t="s">
        <v>291</v>
      </c>
      <c r="Z69" s="22" t="str">
        <f>C69&amp;A69</f>
        <v>26A2</v>
      </c>
      <c r="AA69" s="23">
        <v>26</v>
      </c>
      <c r="AB69" s="117">
        <v>8.75</v>
      </c>
      <c r="AC69" s="26"/>
      <c r="AE69" s="153"/>
      <c r="AF69" s="153"/>
    </row>
    <row r="70" spans="1:33" ht="15.75" customHeight="1" x14ac:dyDescent="0.25">
      <c r="A70" s="247" t="s">
        <v>67</v>
      </c>
      <c r="B70" s="221">
        <v>30</v>
      </c>
      <c r="C70" s="248">
        <v>27</v>
      </c>
      <c r="D70" s="221" t="s">
        <v>80</v>
      </c>
      <c r="E70" s="221">
        <v>5</v>
      </c>
      <c r="F70" s="221">
        <v>5</v>
      </c>
      <c r="G70" s="221">
        <v>148.38999999999999</v>
      </c>
      <c r="H70" s="158">
        <f t="shared" si="8"/>
        <v>125</v>
      </c>
      <c r="I70" s="221">
        <f t="shared" si="11"/>
        <v>144.88149999999999</v>
      </c>
      <c r="J70" s="221">
        <v>22.25</v>
      </c>
      <c r="K70" s="265">
        <f>AB49</f>
        <v>9.58</v>
      </c>
      <c r="L70" s="221">
        <v>1</v>
      </c>
      <c r="M70" s="258">
        <f>$K$6*(I70*$AK$12+IF(J70&gt;30,30*$AK$13+IF(J70&gt;60,30*$AK$14+IF(J70&gt;120,60*$AK$15,(J70-60)*$AK$15),(J70-30)*$AK$14),J70*$AK$13)+$AK$17*K70+L70*$AK$18)</f>
        <v>2833241.0585099999</v>
      </c>
      <c r="N70" s="221" t="s">
        <v>36</v>
      </c>
      <c r="O70" s="258">
        <f t="shared" si="15"/>
        <v>2833241.0585099999</v>
      </c>
      <c r="P70" s="258">
        <f t="shared" si="12"/>
        <v>2124930.7938824999</v>
      </c>
      <c r="Q70" s="258">
        <f t="shared" si="13"/>
        <v>3633245.4071699996</v>
      </c>
      <c r="R70" s="258">
        <f t="shared" si="14"/>
        <v>3133245.4071699996</v>
      </c>
      <c r="S70" s="258"/>
      <c r="T70" s="221"/>
      <c r="U70" s="264">
        <v>6</v>
      </c>
      <c r="V70" s="113"/>
      <c r="Z70" s="125" t="str">
        <f>C49&amp;A49</f>
        <v>6A2</v>
      </c>
      <c r="AA70" s="126">
        <v>27</v>
      </c>
      <c r="AB70" s="117">
        <v>5.03</v>
      </c>
      <c r="AC70" s="26"/>
      <c r="AE70" s="153"/>
      <c r="AF70" s="153"/>
    </row>
    <row r="71" spans="1:33" ht="15.75" customHeight="1" thickBot="1" x14ac:dyDescent="0.3">
      <c r="A71" s="250" t="s">
        <v>67</v>
      </c>
      <c r="B71" s="251">
        <v>30</v>
      </c>
      <c r="C71" s="252">
        <v>28</v>
      </c>
      <c r="D71" s="251" t="s">
        <v>81</v>
      </c>
      <c r="E71" s="251">
        <v>5</v>
      </c>
      <c r="F71" s="251">
        <v>5</v>
      </c>
      <c r="G71" s="251">
        <v>133.62</v>
      </c>
      <c r="H71" s="141">
        <f t="shared" si="8"/>
        <v>125</v>
      </c>
      <c r="I71" s="251">
        <f t="shared" si="11"/>
        <v>132.327</v>
      </c>
      <c r="J71" s="251">
        <v>49.54</v>
      </c>
      <c r="K71" s="267">
        <f>AB71</f>
        <v>6.68</v>
      </c>
      <c r="L71" s="251">
        <v>1</v>
      </c>
      <c r="M71" s="261">
        <f>$K$6*(I71*$AK$12+IF(J71&gt;30,30*$AK$13+IF(J71&gt;60,30*$AK$14+IF(J71&gt;120,60*$AK$15,(J71-60)*$AK$15),(J71-30)*$AK$14),J71*$AK$13)+$AK$17*K71+L71*$AK$18)</f>
        <v>2702989.9049799996</v>
      </c>
      <c r="N71" s="251" t="s">
        <v>39</v>
      </c>
      <c r="O71" s="261">
        <f t="shared" si="15"/>
        <v>2702989.9049799996</v>
      </c>
      <c r="P71" s="261">
        <f t="shared" si="12"/>
        <v>2027242.4287349996</v>
      </c>
      <c r="Q71" s="261">
        <f t="shared" si="13"/>
        <v>3466216.0596599993</v>
      </c>
      <c r="R71" s="261">
        <f t="shared" si="14"/>
        <v>2966216.0596599993</v>
      </c>
      <c r="S71" s="261">
        <f t="shared" si="9"/>
        <v>2702989.9049799996</v>
      </c>
      <c r="T71" s="251"/>
      <c r="U71" s="268">
        <v>28</v>
      </c>
      <c r="V71" s="113" t="s">
        <v>291</v>
      </c>
      <c r="W71" t="s">
        <v>291</v>
      </c>
      <c r="X71" t="s">
        <v>291</v>
      </c>
      <c r="Z71" s="27" t="str">
        <f>C71&amp;A71</f>
        <v>28A2</v>
      </c>
      <c r="AA71" s="28">
        <v>28</v>
      </c>
      <c r="AB71" s="119">
        <v>6.68</v>
      </c>
      <c r="AC71" s="29"/>
      <c r="AE71" s="153"/>
      <c r="AF71" s="153"/>
    </row>
    <row r="72" spans="1:33" ht="15.75" customHeight="1" thickBot="1" x14ac:dyDescent="0.3">
      <c r="A72" s="231" t="s">
        <v>65</v>
      </c>
      <c r="B72" s="319"/>
      <c r="C72" s="319"/>
      <c r="D72" s="319"/>
      <c r="E72" s="319"/>
      <c r="F72" s="319"/>
      <c r="G72" s="131">
        <f>SUMIF(N44:N71,"כן",G44:G71)/COUNT(C44:C71)</f>
        <v>84.99857142857141</v>
      </c>
      <c r="H72" s="131" t="e">
        <f t="shared" si="8"/>
        <v>#N/A</v>
      </c>
      <c r="I72" s="131"/>
      <c r="J72" s="132"/>
      <c r="K72" s="227" t="s">
        <v>66</v>
      </c>
      <c r="L72" s="227"/>
      <c r="M72" s="227"/>
      <c r="N72" s="133">
        <f>COUNTIF(N44:N71,"כן")/COUNT(C44:C71)</f>
        <v>0.9642857142857143</v>
      </c>
      <c r="O72" s="133"/>
      <c r="P72" s="133"/>
      <c r="Q72" s="133"/>
      <c r="R72" s="133"/>
      <c r="S72" s="133"/>
      <c r="T72" s="160"/>
      <c r="U72" s="298"/>
      <c r="V72" s="113"/>
      <c r="AE72" s="153"/>
      <c r="AF72" s="153"/>
    </row>
    <row r="73" spans="1:33" ht="14.25" customHeight="1" x14ac:dyDescent="0.25">
      <c r="A73" s="243" t="s">
        <v>37</v>
      </c>
      <c r="B73" s="244">
        <v>30</v>
      </c>
      <c r="C73" s="244">
        <v>1</v>
      </c>
      <c r="D73" s="244" t="s">
        <v>82</v>
      </c>
      <c r="E73" s="244" t="s">
        <v>83</v>
      </c>
      <c r="F73" s="244">
        <v>5</v>
      </c>
      <c r="G73" s="244">
        <v>148.68</v>
      </c>
      <c r="H73" s="162">
        <f t="shared" si="8"/>
        <v>125</v>
      </c>
      <c r="I73" s="244">
        <f t="shared" ref="I73:I100" si="16">IF(G73&gt;H73,(G73-H73)*$AL$12+H73,G73)</f>
        <v>145.12800000000001</v>
      </c>
      <c r="J73" s="244">
        <v>135.27000000000001</v>
      </c>
      <c r="K73" s="269">
        <f>AB73</f>
        <v>12.16</v>
      </c>
      <c r="L73" s="244">
        <v>1</v>
      </c>
      <c r="M73" s="256">
        <f>$K$6*(I73*$AK$12+IF(J73&gt;30,30*$AK$13+IF(J73&gt;60,30*$AK$14+IF(J73&gt;120,60*$AK$15,(J73-60)*$AK$15),(J73-30)*$AK$14),J73*$AK$13)+$AK$17*K73+L73*$AK$18)</f>
        <v>3111175.9923200002</v>
      </c>
      <c r="N73" s="244" t="s">
        <v>36</v>
      </c>
      <c r="O73" s="256">
        <f>M73</f>
        <v>3111175.9923200002</v>
      </c>
      <c r="P73" s="256">
        <f t="shared" ref="P73:P100" si="17">O73*(1-$AK$19)</f>
        <v>2333381.9942399999</v>
      </c>
      <c r="Q73" s="256">
        <f t="shared" ref="Q73:Q100" si="18">$AK$22*(I73*$AK$12+IF(J73&gt;30,30*$AK$13+IF(J73&gt;60,30*$AK$14+IF(J73&gt;120,60*$AK$15,(J73-60)*$AK$15),(J73-30)*$AK$14),J73*$AK$13)+$AK$17*K73+L73*$AK$18)</f>
        <v>3989659.0694400002</v>
      </c>
      <c r="R73" s="256">
        <f t="shared" ref="R73:R100" si="19">Q73-$AK$20</f>
        <v>3489659.0694400002</v>
      </c>
      <c r="S73" s="256"/>
      <c r="T73" s="244"/>
      <c r="U73" s="270">
        <v>1</v>
      </c>
      <c r="V73" s="113"/>
      <c r="Z73" s="76" t="str">
        <f>C73&amp;A73</f>
        <v>1A3</v>
      </c>
      <c r="AA73" s="77">
        <v>1</v>
      </c>
      <c r="AB73" s="121">
        <v>12.16</v>
      </c>
      <c r="AC73" s="79"/>
      <c r="AE73" s="153"/>
      <c r="AF73" s="153"/>
      <c r="AG73" s="153"/>
    </row>
    <row r="74" spans="1:33" ht="14.25" customHeight="1" x14ac:dyDescent="0.25">
      <c r="A74" s="247" t="s">
        <v>37</v>
      </c>
      <c r="B74" s="221">
        <v>30</v>
      </c>
      <c r="C74" s="221">
        <v>2</v>
      </c>
      <c r="D74" s="221" t="s">
        <v>84</v>
      </c>
      <c r="E74" s="221" t="s">
        <v>83</v>
      </c>
      <c r="F74" s="221">
        <v>5</v>
      </c>
      <c r="G74" s="221">
        <v>148.68</v>
      </c>
      <c r="H74" s="158">
        <f t="shared" si="8"/>
        <v>125</v>
      </c>
      <c r="I74" s="221">
        <f t="shared" si="16"/>
        <v>145.12800000000001</v>
      </c>
      <c r="J74" s="221">
        <v>159.87</v>
      </c>
      <c r="K74" s="271">
        <f>AB74</f>
        <v>12.16</v>
      </c>
      <c r="L74" s="221">
        <v>1</v>
      </c>
      <c r="M74" s="258">
        <f>$K$6*(I74*$AK$12+IF(J74&gt;30,30*$AK$13+IF(J74&gt;60,30*$AK$14+IF(J74&gt;120,60*$AK$15,(J74-60)*$AK$15),(J74-30)*$AK$14),J74*$AK$13)+$AK$17*K74+L74*$AK$18)</f>
        <v>3111175.9923200002</v>
      </c>
      <c r="N74" s="221" t="s">
        <v>36</v>
      </c>
      <c r="O74" s="258">
        <f t="shared" ref="O74:O100" si="20">M74</f>
        <v>3111175.9923200002</v>
      </c>
      <c r="P74" s="258">
        <f t="shared" si="17"/>
        <v>2333381.9942399999</v>
      </c>
      <c r="Q74" s="258">
        <f t="shared" si="18"/>
        <v>3989659.0694400002</v>
      </c>
      <c r="R74" s="258">
        <f t="shared" si="19"/>
        <v>3489659.0694400002</v>
      </c>
      <c r="S74" s="258"/>
      <c r="T74" s="221"/>
      <c r="U74" s="272">
        <v>2</v>
      </c>
      <c r="V74" s="113"/>
      <c r="Z74" s="80" t="str">
        <f>C74&amp;A74</f>
        <v>2A3</v>
      </c>
      <c r="AA74" s="81">
        <v>2</v>
      </c>
      <c r="AB74" s="122">
        <v>12.16</v>
      </c>
      <c r="AC74" s="83"/>
      <c r="AE74" s="153"/>
      <c r="AF74" s="153"/>
    </row>
    <row r="75" spans="1:33" ht="14.25" customHeight="1" x14ac:dyDescent="0.25">
      <c r="A75" s="247" t="s">
        <v>37</v>
      </c>
      <c r="B75" s="221">
        <v>30</v>
      </c>
      <c r="C75" s="221">
        <v>3</v>
      </c>
      <c r="D75" s="221" t="s">
        <v>85</v>
      </c>
      <c r="E75" s="221">
        <v>-3</v>
      </c>
      <c r="F75" s="221">
        <v>4</v>
      </c>
      <c r="G75" s="221">
        <v>108.65</v>
      </c>
      <c r="H75" s="158">
        <f t="shared" si="8"/>
        <v>110</v>
      </c>
      <c r="I75" s="221">
        <f t="shared" si="16"/>
        <v>108.65</v>
      </c>
      <c r="J75" s="221">
        <f>16.98+5.22</f>
        <v>22.2</v>
      </c>
      <c r="K75" s="273">
        <f>AB75</f>
        <v>6.01</v>
      </c>
      <c r="L75" s="221">
        <v>1</v>
      </c>
      <c r="M75" s="258">
        <f>$K$6*(I75*$AK$12+IF(J75&gt;30,30*$AK$13+IF(J75&gt;60,30*$AK$14+IF(J75&gt;120,60*$AK$15,(J75-60)*$AK$15),(J75-30)*$AK$14),J75*$AK$13)+$AK$17*K75+L75*$AK$18)</f>
        <v>2157353.2156599998</v>
      </c>
      <c r="N75" s="221" t="s">
        <v>39</v>
      </c>
      <c r="O75" s="258">
        <f t="shared" si="20"/>
        <v>2157353.2156599998</v>
      </c>
      <c r="P75" s="258">
        <f t="shared" si="17"/>
        <v>1618014.9117449997</v>
      </c>
      <c r="Q75" s="258">
        <f t="shared" si="18"/>
        <v>2766511.3912199996</v>
      </c>
      <c r="R75" s="258">
        <f t="shared" si="19"/>
        <v>2266511.3912199996</v>
      </c>
      <c r="S75" s="258">
        <f t="shared" si="9"/>
        <v>2157353.2156599998</v>
      </c>
      <c r="T75" s="221"/>
      <c r="U75" s="272">
        <v>3</v>
      </c>
      <c r="V75" s="113" t="s">
        <v>291</v>
      </c>
      <c r="W75" t="s">
        <v>291</v>
      </c>
      <c r="X75" t="s">
        <v>291</v>
      </c>
      <c r="Z75" s="80" t="str">
        <f>C75&amp;A75</f>
        <v>3A3</v>
      </c>
      <c r="AA75" s="81">
        <v>3</v>
      </c>
      <c r="AB75" s="122">
        <v>6.01</v>
      </c>
      <c r="AC75" s="84"/>
      <c r="AE75" s="153"/>
      <c r="AF75" s="153"/>
    </row>
    <row r="76" spans="1:33" ht="14.25" customHeight="1" x14ac:dyDescent="0.25">
      <c r="A76" s="247" t="s">
        <v>37</v>
      </c>
      <c r="B76" s="221">
        <v>30</v>
      </c>
      <c r="C76" s="221">
        <v>4</v>
      </c>
      <c r="D76" s="221" t="s">
        <v>86</v>
      </c>
      <c r="E76" s="221">
        <v>-3</v>
      </c>
      <c r="F76" s="221">
        <v>4</v>
      </c>
      <c r="G76" s="221">
        <v>108.42</v>
      </c>
      <c r="H76" s="158">
        <f t="shared" si="8"/>
        <v>110</v>
      </c>
      <c r="I76" s="221">
        <f t="shared" si="16"/>
        <v>108.42</v>
      </c>
      <c r="J76" s="221">
        <v>70.77</v>
      </c>
      <c r="K76" s="260">
        <f>AB76</f>
        <v>6.3</v>
      </c>
      <c r="L76" s="221">
        <v>1</v>
      </c>
      <c r="M76" s="258">
        <f>$K$6*(I76*$AK$12+IF(J76&gt;30,30*$AK$13+IF(J76&gt;60,30*$AK$14+IF(J76&gt;120,60*$AK$15,(J76-60)*$AK$15),(J76-30)*$AK$14),J76*$AK$13)+$AK$17*K76+L76*$AK$18)</f>
        <v>2325322.23434</v>
      </c>
      <c r="N76" s="221" t="s">
        <v>39</v>
      </c>
      <c r="O76" s="258">
        <f t="shared" si="20"/>
        <v>2325322.23434</v>
      </c>
      <c r="P76" s="258">
        <f t="shared" si="17"/>
        <v>1743991.675755</v>
      </c>
      <c r="Q76" s="258">
        <f t="shared" si="18"/>
        <v>2981908.7587799998</v>
      </c>
      <c r="R76" s="258">
        <f t="shared" si="19"/>
        <v>2481908.7587799998</v>
      </c>
      <c r="S76" s="258">
        <f t="shared" si="9"/>
        <v>2325322.23434</v>
      </c>
      <c r="T76" s="221"/>
      <c r="U76" s="272">
        <v>4</v>
      </c>
      <c r="V76" s="113" t="s">
        <v>291</v>
      </c>
      <c r="W76" t="s">
        <v>291</v>
      </c>
      <c r="X76" t="s">
        <v>291</v>
      </c>
      <c r="Z76" s="80" t="str">
        <f>C76&amp;A76</f>
        <v>4A3</v>
      </c>
      <c r="AA76" s="81">
        <v>4</v>
      </c>
      <c r="AB76" s="122">
        <v>6.3</v>
      </c>
      <c r="AC76" s="84"/>
      <c r="AE76" s="153"/>
      <c r="AF76" s="153"/>
    </row>
    <row r="77" spans="1:33" ht="14.25" customHeight="1" x14ac:dyDescent="0.25">
      <c r="A77" s="247" t="s">
        <v>37</v>
      </c>
      <c r="B77" s="221">
        <v>30</v>
      </c>
      <c r="C77" s="221">
        <v>5</v>
      </c>
      <c r="D77" s="221" t="s">
        <v>41</v>
      </c>
      <c r="E77" s="221">
        <v>-2</v>
      </c>
      <c r="F77" s="221">
        <v>4</v>
      </c>
      <c r="G77" s="221">
        <v>108.65</v>
      </c>
      <c r="H77" s="158">
        <f t="shared" si="8"/>
        <v>110</v>
      </c>
      <c r="I77" s="221">
        <f t="shared" si="16"/>
        <v>108.65</v>
      </c>
      <c r="J77" s="221">
        <v>23.35</v>
      </c>
      <c r="K77" s="248">
        <f>AB77</f>
        <v>5.91</v>
      </c>
      <c r="L77" s="221">
        <v>1</v>
      </c>
      <c r="M77" s="258">
        <f>$K$6*(I77*$AK$12+IF(J77&gt;30,30*$AK$13+IF(J77&gt;60,30*$AK$14+IF(J77&gt;120,60*$AK$15,(J77-60)*$AK$15),(J77-30)*$AK$14),J77*$AK$13)+$AK$17*K77+L77*$AK$18)</f>
        <v>2163058.4389599999</v>
      </c>
      <c r="N77" s="221" t="s">
        <v>39</v>
      </c>
      <c r="O77" s="258">
        <f t="shared" si="20"/>
        <v>2163058.4389599999</v>
      </c>
      <c r="P77" s="258">
        <f t="shared" si="17"/>
        <v>1622293.82922</v>
      </c>
      <c r="Q77" s="258">
        <f t="shared" si="18"/>
        <v>2773827.5623199996</v>
      </c>
      <c r="R77" s="258">
        <f t="shared" si="19"/>
        <v>2273827.5623199996</v>
      </c>
      <c r="S77" s="258">
        <f t="shared" si="9"/>
        <v>2163058.4389599999</v>
      </c>
      <c r="T77" s="221"/>
      <c r="U77" s="272">
        <v>5</v>
      </c>
      <c r="V77" s="113" t="s">
        <v>291</v>
      </c>
      <c r="W77" t="s">
        <v>291</v>
      </c>
      <c r="X77" t="s">
        <v>291</v>
      </c>
      <c r="Z77" s="80" t="str">
        <f>C77&amp;A77</f>
        <v>5A3</v>
      </c>
      <c r="AA77" s="81">
        <v>5</v>
      </c>
      <c r="AB77" s="122">
        <v>5.91</v>
      </c>
      <c r="AC77" s="84"/>
      <c r="AE77" s="153"/>
      <c r="AF77" s="153"/>
    </row>
    <row r="78" spans="1:33" ht="14.25" customHeight="1" x14ac:dyDescent="0.25">
      <c r="A78" s="247" t="s">
        <v>37</v>
      </c>
      <c r="B78" s="221">
        <v>30</v>
      </c>
      <c r="C78" s="221">
        <v>6</v>
      </c>
      <c r="D78" s="221" t="s">
        <v>87</v>
      </c>
      <c r="E78" s="221">
        <v>-2</v>
      </c>
      <c r="F78" s="221">
        <v>4</v>
      </c>
      <c r="G78" s="221">
        <v>108.42</v>
      </c>
      <c r="H78" s="158">
        <f t="shared" si="8"/>
        <v>110</v>
      </c>
      <c r="I78" s="221">
        <f t="shared" si="16"/>
        <v>108.42</v>
      </c>
      <c r="J78" s="221">
        <v>16.05</v>
      </c>
      <c r="K78" s="248">
        <f>AB78</f>
        <v>6.23</v>
      </c>
      <c r="L78" s="221">
        <v>1</v>
      </c>
      <c r="M78" s="258">
        <f>$K$6*(I78*$AK$12+IF(J78&gt;30,30*$AK$13+IF(J78&gt;60,30*$AK$14+IF(J78&gt;120,60*$AK$15,(J78-60)*$AK$15),(J78-30)*$AK$14),J78*$AK$13)+$AK$17*K78+L78*$AK$18)</f>
        <v>2120966.5692799999</v>
      </c>
      <c r="N78" s="221" t="s">
        <v>39</v>
      </c>
      <c r="O78" s="258">
        <f t="shared" si="20"/>
        <v>2120966.5692799999</v>
      </c>
      <c r="P78" s="258">
        <f t="shared" si="17"/>
        <v>1590724.9269599998</v>
      </c>
      <c r="Q78" s="258">
        <f t="shared" si="18"/>
        <v>2719850.4777599997</v>
      </c>
      <c r="R78" s="258">
        <f t="shared" si="19"/>
        <v>2219850.4777599997</v>
      </c>
      <c r="S78" s="258">
        <f t="shared" si="9"/>
        <v>2120966.5692799999</v>
      </c>
      <c r="T78" s="221"/>
      <c r="U78" s="272">
        <v>6</v>
      </c>
      <c r="V78" s="113" t="s">
        <v>291</v>
      </c>
      <c r="W78" t="s">
        <v>291</v>
      </c>
      <c r="X78" t="s">
        <v>291</v>
      </c>
      <c r="Z78" s="80" t="str">
        <f>C78&amp;A78</f>
        <v>6A3</v>
      </c>
      <c r="AA78" s="81">
        <v>6</v>
      </c>
      <c r="AB78" s="122">
        <v>6.23</v>
      </c>
      <c r="AC78" s="84"/>
      <c r="AE78" s="153"/>
      <c r="AF78" s="153"/>
    </row>
    <row r="79" spans="1:33" ht="14.25" customHeight="1" x14ac:dyDescent="0.25">
      <c r="A79" s="247" t="s">
        <v>37</v>
      </c>
      <c r="B79" s="221">
        <v>30</v>
      </c>
      <c r="C79" s="221">
        <v>7</v>
      </c>
      <c r="D79" s="221" t="s">
        <v>43</v>
      </c>
      <c r="E79" s="221">
        <v>-1</v>
      </c>
      <c r="F79" s="221">
        <v>3</v>
      </c>
      <c r="G79" s="221">
        <v>79.56</v>
      </c>
      <c r="H79" s="158">
        <f t="shared" si="8"/>
        <v>90</v>
      </c>
      <c r="I79" s="221">
        <f t="shared" si="16"/>
        <v>79.56</v>
      </c>
      <c r="J79" s="221">
        <v>33.39</v>
      </c>
      <c r="K79" s="260">
        <f>AB79</f>
        <v>6.01</v>
      </c>
      <c r="L79" s="221">
        <v>1</v>
      </c>
      <c r="M79" s="258">
        <f>$K$6*(I79*$AK$12+IF(J79&gt;30,30*$AK$13+IF(J79&gt;60,30*$AK$14+IF(J79&gt;120,60*$AK$15,(J79-60)*$AK$15),(J79-30)*$AK$14),J79*$AK$13)+$AK$17*K79+L79*$AK$18)</f>
        <v>1685141.8446199999</v>
      </c>
      <c r="N79" s="221" t="s">
        <v>39</v>
      </c>
      <c r="O79" s="258">
        <f t="shared" si="20"/>
        <v>1685141.8446199999</v>
      </c>
      <c r="P79" s="258">
        <f t="shared" si="17"/>
        <v>1263856.383465</v>
      </c>
      <c r="Q79" s="258">
        <f t="shared" si="18"/>
        <v>2160964.6835399996</v>
      </c>
      <c r="R79" s="258">
        <f t="shared" si="19"/>
        <v>1660964.6835399996</v>
      </c>
      <c r="S79" s="258">
        <f t="shared" si="9"/>
        <v>1660964.6835399996</v>
      </c>
      <c r="T79" s="221"/>
      <c r="U79" s="272">
        <v>7</v>
      </c>
      <c r="V79" s="296" t="s">
        <v>291</v>
      </c>
      <c r="W79" s="219" t="s">
        <v>291</v>
      </c>
      <c r="X79" t="s">
        <v>291</v>
      </c>
      <c r="Z79" s="80" t="str">
        <f>C79&amp;A79</f>
        <v>7A3</v>
      </c>
      <c r="AA79" s="81">
        <v>7</v>
      </c>
      <c r="AB79" s="122">
        <v>6.01</v>
      </c>
      <c r="AC79" s="84"/>
      <c r="AE79" s="153"/>
      <c r="AF79" s="153"/>
    </row>
    <row r="80" spans="1:33" ht="14.25" customHeight="1" x14ac:dyDescent="0.25">
      <c r="A80" s="247" t="s">
        <v>37</v>
      </c>
      <c r="B80" s="221">
        <v>30</v>
      </c>
      <c r="C80" s="221">
        <v>8</v>
      </c>
      <c r="D80" s="221" t="s">
        <v>88</v>
      </c>
      <c r="E80" s="221">
        <v>-1</v>
      </c>
      <c r="F80" s="221">
        <v>3</v>
      </c>
      <c r="G80" s="221">
        <v>79.33</v>
      </c>
      <c r="H80" s="158">
        <f t="shared" ref="H80:H143" si="21">VLOOKUP(F80,$AM$3:$AN$11,2,FALSE)</f>
        <v>90</v>
      </c>
      <c r="I80" s="221">
        <f t="shared" si="16"/>
        <v>79.33</v>
      </c>
      <c r="J80" s="221">
        <v>33.39</v>
      </c>
      <c r="K80" s="248">
        <f>AB80</f>
        <v>9.09</v>
      </c>
      <c r="L80" s="221">
        <v>1</v>
      </c>
      <c r="M80" s="258">
        <f>$K$6*(I80*$AK$12+IF(J80&gt;30,30*$AK$13+IF(J80&gt;60,30*$AK$14+IF(J80&gt;120,60*$AK$15,(J80-60)*$AK$15),(J80-30)*$AK$14),J80*$AK$13)+$AK$17*K80+L80*$AK$18)</f>
        <v>1697711.4476999999</v>
      </c>
      <c r="N80" s="221" t="s">
        <v>39</v>
      </c>
      <c r="O80" s="258">
        <f t="shared" si="20"/>
        <v>1697711.4476999999</v>
      </c>
      <c r="P80" s="258">
        <f t="shared" si="17"/>
        <v>1273283.585775</v>
      </c>
      <c r="Q80" s="258">
        <f t="shared" si="18"/>
        <v>2177083.4858999997</v>
      </c>
      <c r="R80" s="258">
        <f t="shared" si="19"/>
        <v>1677083.4858999997</v>
      </c>
      <c r="S80" s="258">
        <f t="shared" ref="S80:S141" si="22">IF(R80&lt;P80,P80,MIN(R80,O80))</f>
        <v>1677083.4858999997</v>
      </c>
      <c r="T80" s="221"/>
      <c r="U80" s="272">
        <v>8</v>
      </c>
      <c r="V80" s="296" t="s">
        <v>291</v>
      </c>
      <c r="W80" s="219" t="s">
        <v>291</v>
      </c>
      <c r="X80" t="s">
        <v>291</v>
      </c>
      <c r="Z80" s="80" t="str">
        <f>C80&amp;A80</f>
        <v>8A3</v>
      </c>
      <c r="AA80" s="81">
        <v>8</v>
      </c>
      <c r="AB80" s="122">
        <v>9.09</v>
      </c>
      <c r="AC80" s="84"/>
      <c r="AE80" s="153"/>
      <c r="AF80" s="153"/>
    </row>
    <row r="81" spans="1:32" ht="14.25" customHeight="1" x14ac:dyDescent="0.25">
      <c r="A81" s="247" t="s">
        <v>37</v>
      </c>
      <c r="B81" s="221">
        <v>30</v>
      </c>
      <c r="C81" s="221">
        <v>9</v>
      </c>
      <c r="D81" s="221" t="s">
        <v>89</v>
      </c>
      <c r="E81" s="221">
        <v>0</v>
      </c>
      <c r="F81" s="221">
        <v>3</v>
      </c>
      <c r="G81" s="221">
        <v>79.89</v>
      </c>
      <c r="H81" s="158">
        <f t="shared" si="21"/>
        <v>90</v>
      </c>
      <c r="I81" s="221">
        <f t="shared" si="16"/>
        <v>79.89</v>
      </c>
      <c r="J81" s="221">
        <v>8.4</v>
      </c>
      <c r="K81" s="248">
        <f>AB81</f>
        <v>6.69</v>
      </c>
      <c r="L81" s="221">
        <v>1</v>
      </c>
      <c r="M81" s="258">
        <f>$K$6*(I81*$AK$12+IF(J81&gt;30,30*$AK$13+IF(J81&gt;60,30*$AK$14+IF(J81&gt;120,60*$AK$15,(J81-60)*$AK$15),(J81-30)*$AK$14),J81*$AK$13)+$AK$17*K81+L81*$AK$18)</f>
        <v>1565169.14894</v>
      </c>
      <c r="N81" s="221" t="s">
        <v>39</v>
      </c>
      <c r="O81" s="258">
        <f t="shared" si="20"/>
        <v>1565169.14894</v>
      </c>
      <c r="P81" s="258">
        <f t="shared" si="17"/>
        <v>1173876.861705</v>
      </c>
      <c r="Q81" s="258">
        <f t="shared" si="18"/>
        <v>2007116.0569799999</v>
      </c>
      <c r="R81" s="258">
        <f t="shared" si="19"/>
        <v>1507116.0569799999</v>
      </c>
      <c r="S81" s="258">
        <f t="shared" si="22"/>
        <v>1507116.0569799999</v>
      </c>
      <c r="T81" s="221"/>
      <c r="U81" s="272">
        <v>9</v>
      </c>
      <c r="V81" s="113" t="s">
        <v>291</v>
      </c>
      <c r="W81" t="s">
        <v>291</v>
      </c>
      <c r="X81" t="s">
        <v>291</v>
      </c>
      <c r="Z81" s="80" t="str">
        <f>C81&amp;A81</f>
        <v>9A3</v>
      </c>
      <c r="AA81" s="81">
        <v>9</v>
      </c>
      <c r="AB81" s="122">
        <v>6.69</v>
      </c>
      <c r="AC81" s="84"/>
      <c r="AE81" s="153"/>
      <c r="AF81" s="153"/>
    </row>
    <row r="82" spans="1:32" ht="14.25" customHeight="1" x14ac:dyDescent="0.25">
      <c r="A82" s="247" t="s">
        <v>37</v>
      </c>
      <c r="B82" s="221">
        <v>30</v>
      </c>
      <c r="C82" s="221">
        <v>10</v>
      </c>
      <c r="D82" s="221" t="s">
        <v>90</v>
      </c>
      <c r="E82" s="221">
        <v>0</v>
      </c>
      <c r="F82" s="221">
        <v>3</v>
      </c>
      <c r="G82" s="221">
        <v>80.28</v>
      </c>
      <c r="H82" s="158">
        <f t="shared" si="21"/>
        <v>90</v>
      </c>
      <c r="I82" s="221">
        <f t="shared" si="16"/>
        <v>80.28</v>
      </c>
      <c r="J82" s="221">
        <v>8.4</v>
      </c>
      <c r="K82" s="260">
        <f>AB82</f>
        <v>4.8499999999999996</v>
      </c>
      <c r="L82" s="221">
        <v>1</v>
      </c>
      <c r="M82" s="258">
        <f>$K$6*(I82*$AK$12+IF(J82&gt;30,30*$AK$13+IF(J82&gt;60,30*$AK$14+IF(J82&gt;120,60*$AK$15,(J82-60)*$AK$15),(J82-30)*$AK$14),J82*$AK$13)+$AK$17*K82+L82*$AK$18)</f>
        <v>1562235.0340999998</v>
      </c>
      <c r="N82" s="221" t="s">
        <v>39</v>
      </c>
      <c r="O82" s="258">
        <f t="shared" si="20"/>
        <v>1562235.0340999998</v>
      </c>
      <c r="P82" s="258">
        <f t="shared" si="17"/>
        <v>1171676.2755749999</v>
      </c>
      <c r="Q82" s="258">
        <f t="shared" si="18"/>
        <v>2003353.4546999999</v>
      </c>
      <c r="R82" s="258">
        <f t="shared" si="19"/>
        <v>1503353.4546999999</v>
      </c>
      <c r="S82" s="258">
        <f t="shared" si="22"/>
        <v>1503353.4546999999</v>
      </c>
      <c r="T82" s="221"/>
      <c r="U82" s="272">
        <v>10</v>
      </c>
      <c r="V82" s="113" t="s">
        <v>291</v>
      </c>
      <c r="W82" t="s">
        <v>291</v>
      </c>
      <c r="X82" t="s">
        <v>291</v>
      </c>
      <c r="Z82" s="80" t="str">
        <f>C82&amp;A82</f>
        <v>10A3</v>
      </c>
      <c r="AA82" s="81">
        <v>10</v>
      </c>
      <c r="AB82" s="122">
        <v>4.8499999999999996</v>
      </c>
      <c r="AC82" s="84"/>
      <c r="AE82" s="153"/>
      <c r="AF82" s="153"/>
    </row>
    <row r="83" spans="1:32" ht="14.25" customHeight="1" x14ac:dyDescent="0.25">
      <c r="A83" s="247" t="s">
        <v>37</v>
      </c>
      <c r="B83" s="221">
        <v>30</v>
      </c>
      <c r="C83" s="221">
        <v>11</v>
      </c>
      <c r="D83" s="221" t="s">
        <v>72</v>
      </c>
      <c r="E83" s="221">
        <v>1</v>
      </c>
      <c r="F83" s="221">
        <v>3</v>
      </c>
      <c r="G83" s="221">
        <v>79.849999999999994</v>
      </c>
      <c r="H83" s="158">
        <f t="shared" si="21"/>
        <v>90</v>
      </c>
      <c r="I83" s="221">
        <f t="shared" si="16"/>
        <v>79.849999999999994</v>
      </c>
      <c r="J83" s="221">
        <v>23.21</v>
      </c>
      <c r="K83" s="248">
        <f>AB83</f>
        <v>5.01</v>
      </c>
      <c r="L83" s="221">
        <v>1</v>
      </c>
      <c r="M83" s="258">
        <f>$K$6*(I83*$AK$12+IF(J83&gt;30,30*$AK$13+IF(J83&gt;60,30*$AK$14+IF(J83&gt;120,60*$AK$15,(J83-60)*$AK$15),(J83-30)*$AK$14),J83*$AK$13)+$AK$17*K83+L83*$AK$18)</f>
        <v>1635787.1351199998</v>
      </c>
      <c r="N83" s="221" t="s">
        <v>39</v>
      </c>
      <c r="O83" s="258">
        <f t="shared" si="20"/>
        <v>1635787.1351199998</v>
      </c>
      <c r="P83" s="258">
        <f t="shared" si="17"/>
        <v>1226840.3513399998</v>
      </c>
      <c r="Q83" s="258">
        <f t="shared" si="18"/>
        <v>2097673.9970399998</v>
      </c>
      <c r="R83" s="258">
        <f t="shared" si="19"/>
        <v>1597673.9970399998</v>
      </c>
      <c r="S83" s="258">
        <f t="shared" si="22"/>
        <v>1597673.9970399998</v>
      </c>
      <c r="T83" s="221"/>
      <c r="U83" s="272">
        <v>11</v>
      </c>
      <c r="V83" s="113" t="s">
        <v>291</v>
      </c>
      <c r="W83" t="s">
        <v>291</v>
      </c>
      <c r="X83" t="s">
        <v>291</v>
      </c>
      <c r="Z83" s="80" t="str">
        <f>C83&amp;A83</f>
        <v>11A3</v>
      </c>
      <c r="AA83" s="81">
        <v>11</v>
      </c>
      <c r="AB83" s="122">
        <v>5.01</v>
      </c>
      <c r="AC83" s="84"/>
      <c r="AE83" s="153"/>
      <c r="AF83" s="153"/>
    </row>
    <row r="84" spans="1:32" ht="14.25" customHeight="1" x14ac:dyDescent="0.25">
      <c r="A84" s="247" t="s">
        <v>37</v>
      </c>
      <c r="B84" s="221">
        <v>30</v>
      </c>
      <c r="C84" s="221">
        <v>12</v>
      </c>
      <c r="D84" s="221" t="s">
        <v>48</v>
      </c>
      <c r="E84" s="221">
        <v>1</v>
      </c>
      <c r="F84" s="221">
        <v>3</v>
      </c>
      <c r="G84" s="221">
        <v>79.62</v>
      </c>
      <c r="H84" s="158">
        <f t="shared" si="21"/>
        <v>90</v>
      </c>
      <c r="I84" s="221">
        <f t="shared" si="16"/>
        <v>79.62</v>
      </c>
      <c r="J84" s="221">
        <v>23.21</v>
      </c>
      <c r="K84" s="248">
        <f>AB84</f>
        <v>4.92</v>
      </c>
      <c r="L84" s="221">
        <v>1</v>
      </c>
      <c r="M84" s="258">
        <f>$K$6*(I84*$AK$12+IF(J84&gt;30,30*$AK$13+IF(J84&gt;60,30*$AK$14+IF(J84&gt;120,60*$AK$15,(J84-60)*$AK$15),(J84-30)*$AK$14),J84*$AK$13)+$AK$17*K84+L84*$AK$18)</f>
        <v>1631132.39738</v>
      </c>
      <c r="N84" s="221" t="s">
        <v>39</v>
      </c>
      <c r="O84" s="258">
        <f t="shared" si="20"/>
        <v>1631132.39738</v>
      </c>
      <c r="P84" s="258">
        <f t="shared" si="17"/>
        <v>1223349.298035</v>
      </c>
      <c r="Q84" s="258">
        <f t="shared" si="18"/>
        <v>2091704.9304599997</v>
      </c>
      <c r="R84" s="258">
        <f t="shared" si="19"/>
        <v>1591704.9304599997</v>
      </c>
      <c r="S84" s="258">
        <f t="shared" si="22"/>
        <v>1591704.9304599997</v>
      </c>
      <c r="T84" s="221"/>
      <c r="U84" s="272">
        <v>12</v>
      </c>
      <c r="V84" s="296" t="s">
        <v>291</v>
      </c>
      <c r="W84" s="219" t="s">
        <v>291</v>
      </c>
      <c r="X84" t="s">
        <v>291</v>
      </c>
      <c r="Z84" s="80" t="str">
        <f>C84&amp;A84</f>
        <v>12A3</v>
      </c>
      <c r="AA84" s="81">
        <v>12</v>
      </c>
      <c r="AB84" s="122">
        <v>4.92</v>
      </c>
      <c r="AC84" s="84"/>
      <c r="AE84" s="153"/>
      <c r="AF84" s="153"/>
    </row>
    <row r="85" spans="1:32" ht="14.25" customHeight="1" x14ac:dyDescent="0.25">
      <c r="A85" s="247" t="s">
        <v>37</v>
      </c>
      <c r="B85" s="221">
        <v>30</v>
      </c>
      <c r="C85" s="221">
        <v>13</v>
      </c>
      <c r="D85" s="221" t="s">
        <v>91</v>
      </c>
      <c r="E85" s="221">
        <v>1</v>
      </c>
      <c r="F85" s="221">
        <v>3</v>
      </c>
      <c r="G85" s="221">
        <v>78.73</v>
      </c>
      <c r="H85" s="158">
        <f t="shared" si="21"/>
        <v>90</v>
      </c>
      <c r="I85" s="221">
        <f t="shared" si="16"/>
        <v>78.73</v>
      </c>
      <c r="J85" s="221">
        <v>26.4</v>
      </c>
      <c r="K85" s="260">
        <f>AB85</f>
        <v>5.01</v>
      </c>
      <c r="L85" s="221">
        <v>1</v>
      </c>
      <c r="M85" s="258">
        <f>$K$6*(I85*$AK$12+IF(J85&gt;30,30*$AK$13+IF(J85&gt;60,30*$AK$14+IF(J85&gt;120,60*$AK$15,(J85-60)*$AK$15),(J85-30)*$AK$14),J85*$AK$13)+$AK$17*K85+L85*$AK$18)</f>
        <v>1632834.9084600001</v>
      </c>
      <c r="N85" s="221" t="s">
        <v>39</v>
      </c>
      <c r="O85" s="258">
        <f t="shared" si="20"/>
        <v>1632834.9084600001</v>
      </c>
      <c r="P85" s="258">
        <f t="shared" si="17"/>
        <v>1224626.1813449999</v>
      </c>
      <c r="Q85" s="258">
        <f t="shared" si="18"/>
        <v>2093888.16882</v>
      </c>
      <c r="R85" s="258">
        <f t="shared" si="19"/>
        <v>1593888.16882</v>
      </c>
      <c r="S85" s="258">
        <f t="shared" si="22"/>
        <v>1593888.16882</v>
      </c>
      <c r="T85" s="221"/>
      <c r="U85" s="272">
        <v>13</v>
      </c>
      <c r="V85" s="296" t="s">
        <v>291</v>
      </c>
      <c r="W85" s="219" t="s">
        <v>291</v>
      </c>
      <c r="X85" t="s">
        <v>291</v>
      </c>
      <c r="Z85" s="80" t="str">
        <f>C85&amp;A85</f>
        <v>13A3</v>
      </c>
      <c r="AA85" s="81">
        <v>13</v>
      </c>
      <c r="AB85" s="122">
        <v>5.01</v>
      </c>
      <c r="AC85" s="84"/>
      <c r="AE85" s="153"/>
      <c r="AF85" s="153"/>
    </row>
    <row r="86" spans="1:32" ht="14.25" customHeight="1" x14ac:dyDescent="0.25">
      <c r="A86" s="247" t="s">
        <v>37</v>
      </c>
      <c r="B86" s="221">
        <v>30</v>
      </c>
      <c r="C86" s="221">
        <v>14</v>
      </c>
      <c r="D86" s="221" t="s">
        <v>73</v>
      </c>
      <c r="E86" s="221">
        <v>1</v>
      </c>
      <c r="F86" s="221">
        <v>3</v>
      </c>
      <c r="G86" s="221">
        <v>79.39</v>
      </c>
      <c r="H86" s="158">
        <f t="shared" si="21"/>
        <v>90</v>
      </c>
      <c r="I86" s="221">
        <f t="shared" si="16"/>
        <v>79.39</v>
      </c>
      <c r="J86" s="221">
        <v>29.74</v>
      </c>
      <c r="K86" s="248">
        <f>AB86</f>
        <v>7.93</v>
      </c>
      <c r="L86" s="221">
        <v>1</v>
      </c>
      <c r="M86" s="258">
        <f>$K$6*(I86*$AK$12+IF(J86&gt;30,30*$AK$13+IF(J86&gt;60,30*$AK$14+IF(J86&gt;120,60*$AK$15,(J86-60)*$AK$15),(J86-30)*$AK$14),J86*$AK$13)+$AK$17*K86+L86*$AK$18)</f>
        <v>1678802.70762</v>
      </c>
      <c r="N86" s="221" t="s">
        <v>39</v>
      </c>
      <c r="O86" s="258">
        <f t="shared" si="20"/>
        <v>1678802.70762</v>
      </c>
      <c r="P86" s="258">
        <f t="shared" si="17"/>
        <v>1259102.0307149999</v>
      </c>
      <c r="Q86" s="258">
        <f t="shared" si="18"/>
        <v>2152835.6045399997</v>
      </c>
      <c r="R86" s="258">
        <f t="shared" si="19"/>
        <v>1652835.6045399997</v>
      </c>
      <c r="S86" s="258">
        <f t="shared" si="22"/>
        <v>1652835.6045399997</v>
      </c>
      <c r="T86" s="221"/>
      <c r="U86" s="272">
        <v>14</v>
      </c>
      <c r="V86" s="296" t="s">
        <v>291</v>
      </c>
      <c r="W86" s="219" t="s">
        <v>291</v>
      </c>
      <c r="X86" t="s">
        <v>291</v>
      </c>
      <c r="Z86" s="80" t="str">
        <f>C86&amp;A86</f>
        <v>14A3</v>
      </c>
      <c r="AA86" s="81">
        <v>14</v>
      </c>
      <c r="AB86" s="122">
        <v>7.93</v>
      </c>
      <c r="AC86" s="84"/>
      <c r="AE86" s="153"/>
      <c r="AF86" s="153"/>
    </row>
    <row r="87" spans="1:32" ht="14.25" customHeight="1" x14ac:dyDescent="0.25">
      <c r="A87" s="247" t="s">
        <v>37</v>
      </c>
      <c r="B87" s="221">
        <v>30</v>
      </c>
      <c r="C87" s="221">
        <v>15</v>
      </c>
      <c r="D87" s="221" t="s">
        <v>74</v>
      </c>
      <c r="E87" s="221">
        <v>2</v>
      </c>
      <c r="F87" s="221">
        <v>3</v>
      </c>
      <c r="G87" s="221">
        <v>79.849999999999994</v>
      </c>
      <c r="H87" s="158">
        <f t="shared" si="21"/>
        <v>90</v>
      </c>
      <c r="I87" s="221">
        <f t="shared" si="16"/>
        <v>79.849999999999994</v>
      </c>
      <c r="J87" s="221">
        <v>15.97</v>
      </c>
      <c r="K87" s="248">
        <f>AB87</f>
        <v>8.4499999999999993</v>
      </c>
      <c r="L87" s="221">
        <v>1</v>
      </c>
      <c r="M87" s="258">
        <f>$K$6*(I87*$AK$12+IF(J87&gt;30,30*$AK$13+IF(J87&gt;60,30*$AK$14+IF(J87&gt;120,60*$AK$15,(J87-60)*$AK$15),(J87-30)*$AK$14),J87*$AK$13)+$AK$17*K87+L87*$AK$18)</f>
        <v>1615139.6603199998</v>
      </c>
      <c r="N87" s="221" t="s">
        <v>39</v>
      </c>
      <c r="O87" s="258">
        <f t="shared" si="20"/>
        <v>1615139.6603199998</v>
      </c>
      <c r="P87" s="258">
        <f t="shared" si="17"/>
        <v>1211354.7452399998</v>
      </c>
      <c r="Q87" s="258">
        <f t="shared" si="18"/>
        <v>2071196.4254399997</v>
      </c>
      <c r="R87" s="258">
        <f t="shared" si="19"/>
        <v>1571196.4254399997</v>
      </c>
      <c r="S87" s="258">
        <f t="shared" si="22"/>
        <v>1571196.4254399997</v>
      </c>
      <c r="T87" s="221"/>
      <c r="U87" s="272">
        <v>15</v>
      </c>
      <c r="V87" s="113" t="s">
        <v>291</v>
      </c>
      <c r="W87" t="s">
        <v>291</v>
      </c>
      <c r="X87" t="s">
        <v>291</v>
      </c>
      <c r="Z87" s="80" t="str">
        <f>C87&amp;A87</f>
        <v>15A3</v>
      </c>
      <c r="AA87" s="81">
        <v>15</v>
      </c>
      <c r="AB87" s="122">
        <v>8.4499999999999993</v>
      </c>
      <c r="AC87" s="84"/>
      <c r="AE87" s="153"/>
      <c r="AF87" s="153"/>
    </row>
    <row r="88" spans="1:32" ht="14.25" customHeight="1" x14ac:dyDescent="0.25">
      <c r="A88" s="247" t="s">
        <v>37</v>
      </c>
      <c r="B88" s="221">
        <v>30</v>
      </c>
      <c r="C88" s="221">
        <v>16</v>
      </c>
      <c r="D88" s="221" t="s">
        <v>52</v>
      </c>
      <c r="E88" s="221">
        <v>2</v>
      </c>
      <c r="F88" s="221">
        <v>3</v>
      </c>
      <c r="G88" s="221">
        <v>79.62</v>
      </c>
      <c r="H88" s="158">
        <f t="shared" si="21"/>
        <v>90</v>
      </c>
      <c r="I88" s="221">
        <f t="shared" si="16"/>
        <v>79.62</v>
      </c>
      <c r="J88" s="221">
        <v>15.97</v>
      </c>
      <c r="K88" s="260">
        <f>AB88</f>
        <v>4.9000000000000004</v>
      </c>
      <c r="L88" s="221">
        <v>1</v>
      </c>
      <c r="M88" s="258">
        <f>$K$6*(I88*$AK$12+IF(J88&gt;30,30*$AK$13+IF(J88&gt;60,30*$AK$14+IF(J88&gt;120,60*$AK$15,(J88-60)*$AK$15),(J88-30)*$AK$14),J88*$AK$13)+$AK$17*K88+L88*$AK$18)</f>
        <v>1591684.8534200001</v>
      </c>
      <c r="N88" s="221" t="s">
        <v>39</v>
      </c>
      <c r="O88" s="258">
        <f t="shared" si="20"/>
        <v>1591684.8534200001</v>
      </c>
      <c r="P88" s="258">
        <f t="shared" si="17"/>
        <v>1193763.6400649999</v>
      </c>
      <c r="Q88" s="258">
        <f t="shared" si="18"/>
        <v>2041118.83314</v>
      </c>
      <c r="R88" s="258">
        <f t="shared" si="19"/>
        <v>1541118.83314</v>
      </c>
      <c r="S88" s="258">
        <f t="shared" si="22"/>
        <v>1541118.83314</v>
      </c>
      <c r="T88" s="221"/>
      <c r="U88" s="272">
        <v>16</v>
      </c>
      <c r="V88" s="296" t="s">
        <v>291</v>
      </c>
      <c r="W88" s="219" t="s">
        <v>291</v>
      </c>
      <c r="X88" t="s">
        <v>291</v>
      </c>
      <c r="Z88" s="80" t="str">
        <f>C88&amp;A88</f>
        <v>16A3</v>
      </c>
      <c r="AA88" s="81">
        <v>16</v>
      </c>
      <c r="AB88" s="122">
        <v>4.9000000000000004</v>
      </c>
      <c r="AC88" s="84"/>
      <c r="AE88" s="153"/>
      <c r="AF88" s="153"/>
    </row>
    <row r="89" spans="1:32" ht="14.25" customHeight="1" x14ac:dyDescent="0.25">
      <c r="A89" s="247" t="s">
        <v>37</v>
      </c>
      <c r="B89" s="221">
        <v>30</v>
      </c>
      <c r="C89" s="221">
        <v>17</v>
      </c>
      <c r="D89" s="221" t="s">
        <v>92</v>
      </c>
      <c r="E89" s="221">
        <v>2</v>
      </c>
      <c r="F89" s="221">
        <v>3</v>
      </c>
      <c r="G89" s="221">
        <v>78.73</v>
      </c>
      <c r="H89" s="158">
        <f t="shared" si="21"/>
        <v>90</v>
      </c>
      <c r="I89" s="221">
        <f t="shared" si="16"/>
        <v>78.73</v>
      </c>
      <c r="J89" s="221">
        <v>18.18</v>
      </c>
      <c r="K89" s="248">
        <f>AB89</f>
        <v>4.9400000000000004</v>
      </c>
      <c r="L89" s="221">
        <v>1</v>
      </c>
      <c r="M89" s="258">
        <f>$K$6*(I89*$AK$12+IF(J89&gt;30,30*$AK$13+IF(J89&gt;60,30*$AK$14+IF(J89&gt;120,60*$AK$15,(J89-60)*$AK$15),(J89-30)*$AK$14),J89*$AK$13)+$AK$17*K89+L89*$AK$18)</f>
        <v>1587790.8121199999</v>
      </c>
      <c r="N89" s="221" t="s">
        <v>39</v>
      </c>
      <c r="O89" s="258">
        <f t="shared" si="20"/>
        <v>1587790.8121199999</v>
      </c>
      <c r="P89" s="258">
        <f t="shared" si="17"/>
        <v>1190843.1090899999</v>
      </c>
      <c r="Q89" s="258">
        <f t="shared" si="18"/>
        <v>2036125.2560399999</v>
      </c>
      <c r="R89" s="258">
        <f t="shared" si="19"/>
        <v>1536125.2560399999</v>
      </c>
      <c r="S89" s="258">
        <f t="shared" si="22"/>
        <v>1536125.2560399999</v>
      </c>
      <c r="T89" s="221"/>
      <c r="U89" s="272">
        <v>17</v>
      </c>
      <c r="V89" s="296" t="s">
        <v>291</v>
      </c>
      <c r="W89" s="219" t="s">
        <v>291</v>
      </c>
      <c r="X89" t="s">
        <v>291</v>
      </c>
      <c r="Z89" s="80" t="str">
        <f>C89&amp;A89</f>
        <v>17A3</v>
      </c>
      <c r="AA89" s="81">
        <v>17</v>
      </c>
      <c r="AB89" s="122">
        <v>4.9400000000000004</v>
      </c>
      <c r="AC89" s="84"/>
      <c r="AE89" s="153"/>
      <c r="AF89" s="153"/>
    </row>
    <row r="90" spans="1:32" ht="14.25" customHeight="1" x14ac:dyDescent="0.25">
      <c r="A90" s="247" t="s">
        <v>37</v>
      </c>
      <c r="B90" s="221">
        <v>30</v>
      </c>
      <c r="C90" s="221">
        <v>18</v>
      </c>
      <c r="D90" s="221" t="s">
        <v>75</v>
      </c>
      <c r="E90" s="221">
        <v>2</v>
      </c>
      <c r="F90" s="221">
        <v>3</v>
      </c>
      <c r="G90" s="221">
        <v>79.39</v>
      </c>
      <c r="H90" s="158">
        <f t="shared" si="21"/>
        <v>90</v>
      </c>
      <c r="I90" s="221">
        <f t="shared" si="16"/>
        <v>79.39</v>
      </c>
      <c r="J90" s="221">
        <v>18.18</v>
      </c>
      <c r="K90" s="248">
        <f>AB90</f>
        <v>4.9400000000000004</v>
      </c>
      <c r="L90" s="221">
        <v>1</v>
      </c>
      <c r="M90" s="258">
        <f>$K$6*(I90*$AK$12+IF(J90&gt;30,30*$AK$13+IF(J90&gt;60,30*$AK$14+IF(J90&gt;120,60*$AK$15,(J90-60)*$AK$15),(J90-30)*$AK$14),J90*$AK$13)+$AK$17*K90+L90*$AK$18)</f>
        <v>1599744.6133199998</v>
      </c>
      <c r="N90" s="221" t="s">
        <v>39</v>
      </c>
      <c r="O90" s="258">
        <f t="shared" si="20"/>
        <v>1599744.6133199998</v>
      </c>
      <c r="P90" s="258">
        <f t="shared" si="17"/>
        <v>1199808.4599899999</v>
      </c>
      <c r="Q90" s="258">
        <f t="shared" si="18"/>
        <v>2051454.3764399998</v>
      </c>
      <c r="R90" s="258">
        <f t="shared" si="19"/>
        <v>1551454.3764399998</v>
      </c>
      <c r="S90" s="258">
        <f t="shared" si="22"/>
        <v>1551454.3764399998</v>
      </c>
      <c r="T90" s="221"/>
      <c r="U90" s="272">
        <v>18</v>
      </c>
      <c r="V90" s="296" t="s">
        <v>291</v>
      </c>
      <c r="W90" s="219" t="s">
        <v>291</v>
      </c>
      <c r="X90" t="s">
        <v>291</v>
      </c>
      <c r="Z90" s="80" t="str">
        <f>C90&amp;A90</f>
        <v>18A3</v>
      </c>
      <c r="AA90" s="81">
        <v>18</v>
      </c>
      <c r="AB90" s="122">
        <v>4.9400000000000004</v>
      </c>
      <c r="AC90" s="84"/>
      <c r="AE90" s="153"/>
      <c r="AF90" s="153"/>
    </row>
    <row r="91" spans="1:32" ht="14.25" customHeight="1" x14ac:dyDescent="0.25">
      <c r="A91" s="247" t="s">
        <v>37</v>
      </c>
      <c r="B91" s="221">
        <v>30</v>
      </c>
      <c r="C91" s="221">
        <v>19</v>
      </c>
      <c r="D91" s="221" t="s">
        <v>76</v>
      </c>
      <c r="E91" s="221">
        <v>3</v>
      </c>
      <c r="F91" s="221">
        <v>3</v>
      </c>
      <c r="G91" s="221">
        <v>79.849999999999994</v>
      </c>
      <c r="H91" s="158">
        <f t="shared" si="21"/>
        <v>90</v>
      </c>
      <c r="I91" s="221">
        <f t="shared" si="16"/>
        <v>79.849999999999994</v>
      </c>
      <c r="J91" s="221">
        <v>15.37</v>
      </c>
      <c r="K91" s="260">
        <f>AB91</f>
        <v>4.9400000000000004</v>
      </c>
      <c r="L91" s="221">
        <v>1</v>
      </c>
      <c r="M91" s="258">
        <f>$K$6*(I91*$AK$12+IF(J91&gt;30,30*$AK$13+IF(J91&gt;60,30*$AK$14+IF(J91&gt;120,60*$AK$15,(J91-60)*$AK$15),(J91-30)*$AK$14),J91*$AK$13)+$AK$17*K91+L91*$AK$18)</f>
        <v>1592807.78626</v>
      </c>
      <c r="N91" s="221" t="s">
        <v>39</v>
      </c>
      <c r="O91" s="258">
        <f t="shared" si="20"/>
        <v>1592807.78626</v>
      </c>
      <c r="P91" s="258">
        <f t="shared" si="17"/>
        <v>1194605.8396950001</v>
      </c>
      <c r="Q91" s="258">
        <f t="shared" si="18"/>
        <v>2042558.8414199997</v>
      </c>
      <c r="R91" s="258">
        <f t="shared" si="19"/>
        <v>1542558.8414199997</v>
      </c>
      <c r="S91" s="258">
        <f t="shared" si="22"/>
        <v>1542558.8414199997</v>
      </c>
      <c r="T91" s="221"/>
      <c r="U91" s="272">
        <v>19</v>
      </c>
      <c r="V91" s="113" t="s">
        <v>291</v>
      </c>
      <c r="W91" t="s">
        <v>291</v>
      </c>
      <c r="X91" t="s">
        <v>291</v>
      </c>
      <c r="Z91" s="80" t="str">
        <f>C91&amp;A91</f>
        <v>19A3</v>
      </c>
      <c r="AA91" s="81">
        <v>19</v>
      </c>
      <c r="AB91" s="122">
        <v>4.9400000000000004</v>
      </c>
      <c r="AC91" s="84"/>
      <c r="AE91" s="153"/>
      <c r="AF91" s="153"/>
    </row>
    <row r="92" spans="1:32" ht="14.25" customHeight="1" x14ac:dyDescent="0.25">
      <c r="A92" s="247" t="s">
        <v>37</v>
      </c>
      <c r="B92" s="221">
        <v>30</v>
      </c>
      <c r="C92" s="221">
        <v>20</v>
      </c>
      <c r="D92" s="221" t="s">
        <v>56</v>
      </c>
      <c r="E92" s="221">
        <v>3</v>
      </c>
      <c r="F92" s="221">
        <v>3</v>
      </c>
      <c r="G92" s="221">
        <v>79.62</v>
      </c>
      <c r="H92" s="158">
        <f t="shared" si="21"/>
        <v>90</v>
      </c>
      <c r="I92" s="221">
        <f t="shared" si="16"/>
        <v>79.62</v>
      </c>
      <c r="J92" s="221">
        <v>15.37</v>
      </c>
      <c r="K92" s="248">
        <f>AB92</f>
        <v>5.49</v>
      </c>
      <c r="L92" s="221">
        <v>1</v>
      </c>
      <c r="M92" s="258">
        <f>$K$6*(I92*$AK$12+IF(J92&gt;30,30*$AK$13+IF(J92&gt;60,30*$AK$14+IF(J92&gt;120,60*$AK$15,(J92-60)*$AK$15),(J92-30)*$AK$14),J92*$AK$13)+$AK$17*K92+L92*$AK$18)</f>
        <v>1591630.5179600003</v>
      </c>
      <c r="N92" s="221" t="s">
        <v>39</v>
      </c>
      <c r="O92" s="258">
        <f t="shared" si="20"/>
        <v>1591630.5179600003</v>
      </c>
      <c r="P92" s="258">
        <f t="shared" si="17"/>
        <v>1193722.8884700001</v>
      </c>
      <c r="Q92" s="258">
        <f t="shared" si="18"/>
        <v>2041049.1553200001</v>
      </c>
      <c r="R92" s="258">
        <f t="shared" si="19"/>
        <v>1541049.1553200001</v>
      </c>
      <c r="S92" s="258">
        <f t="shared" si="22"/>
        <v>1541049.1553200001</v>
      </c>
      <c r="T92" s="221"/>
      <c r="U92" s="272">
        <v>20</v>
      </c>
      <c r="V92" s="296" t="s">
        <v>291</v>
      </c>
      <c r="W92" s="219" t="s">
        <v>291</v>
      </c>
      <c r="X92" t="s">
        <v>291</v>
      </c>
      <c r="Z92" s="80" t="str">
        <f>C92&amp;A92</f>
        <v>20A3</v>
      </c>
      <c r="AA92" s="81">
        <v>20</v>
      </c>
      <c r="AB92" s="122">
        <v>5.49</v>
      </c>
      <c r="AC92" s="84"/>
      <c r="AE92" s="153"/>
      <c r="AF92" s="153"/>
    </row>
    <row r="93" spans="1:32" ht="14.25" customHeight="1" x14ac:dyDescent="0.25">
      <c r="A93" s="247" t="s">
        <v>37</v>
      </c>
      <c r="B93" s="221">
        <v>30</v>
      </c>
      <c r="C93" s="221">
        <v>21</v>
      </c>
      <c r="D93" s="221" t="s">
        <v>93</v>
      </c>
      <c r="E93" s="221">
        <v>3</v>
      </c>
      <c r="F93" s="221">
        <v>3</v>
      </c>
      <c r="G93" s="221">
        <v>78.73</v>
      </c>
      <c r="H93" s="158">
        <f t="shared" si="21"/>
        <v>90</v>
      </c>
      <c r="I93" s="221">
        <f t="shared" si="16"/>
        <v>78.73</v>
      </c>
      <c r="J93" s="221">
        <v>18.96</v>
      </c>
      <c r="K93" s="248">
        <f>AB93</f>
        <v>5.66</v>
      </c>
      <c r="L93" s="221">
        <v>1</v>
      </c>
      <c r="M93" s="258">
        <f>$K$6*(I93*$AK$12+IF(J93&gt;30,30*$AK$13+IF(J93&gt;60,30*$AK$14+IF(J93&gt;120,60*$AK$15,(J93-60)*$AK$15),(J93-30)*$AK$14),J93*$AK$13)+$AK$17*K93+L93*$AK$18)</f>
        <v>1595941.13112</v>
      </c>
      <c r="N93" s="221" t="s">
        <v>39</v>
      </c>
      <c r="O93" s="258">
        <f t="shared" si="20"/>
        <v>1595941.13112</v>
      </c>
      <c r="P93" s="258">
        <f t="shared" si="17"/>
        <v>1196955.84834</v>
      </c>
      <c r="Q93" s="258">
        <f t="shared" si="18"/>
        <v>2046576.9290399998</v>
      </c>
      <c r="R93" s="258">
        <f t="shared" si="19"/>
        <v>1546576.9290399998</v>
      </c>
      <c r="S93" s="258">
        <f t="shared" si="22"/>
        <v>1546576.9290399998</v>
      </c>
      <c r="T93" s="221"/>
      <c r="U93" s="272">
        <v>21</v>
      </c>
      <c r="V93" s="296" t="s">
        <v>291</v>
      </c>
      <c r="W93" s="219" t="s">
        <v>291</v>
      </c>
      <c r="X93" t="s">
        <v>291</v>
      </c>
      <c r="Z93" s="80" t="str">
        <f>C93&amp;A93</f>
        <v>21A3</v>
      </c>
      <c r="AA93" s="81">
        <v>21</v>
      </c>
      <c r="AB93" s="122">
        <v>5.66</v>
      </c>
      <c r="AC93" s="84"/>
      <c r="AE93" s="153"/>
      <c r="AF93" s="153"/>
    </row>
    <row r="94" spans="1:32" ht="14.25" customHeight="1" x14ac:dyDescent="0.25">
      <c r="A94" s="247" t="s">
        <v>37</v>
      </c>
      <c r="B94" s="221">
        <v>30</v>
      </c>
      <c r="C94" s="221">
        <v>22</v>
      </c>
      <c r="D94" s="221" t="s">
        <v>77</v>
      </c>
      <c r="E94" s="221">
        <v>3</v>
      </c>
      <c r="F94" s="221">
        <v>3</v>
      </c>
      <c r="G94" s="221">
        <v>79.39</v>
      </c>
      <c r="H94" s="158">
        <f t="shared" si="21"/>
        <v>90</v>
      </c>
      <c r="I94" s="221">
        <f t="shared" si="16"/>
        <v>79.39</v>
      </c>
      <c r="J94" s="221">
        <v>18.96</v>
      </c>
      <c r="K94" s="248">
        <f>AB94</f>
        <v>8.42</v>
      </c>
      <c r="L94" s="221">
        <v>1</v>
      </c>
      <c r="M94" s="258">
        <f>$K$6*(I94*$AK$12+IF(J94&gt;30,30*$AK$13+IF(J94&gt;60,30*$AK$14+IF(J94&gt;120,60*$AK$15,(J94-60)*$AK$15),(J94-30)*$AK$14),J94*$AK$13)+$AK$17*K94+L94*$AK$18)</f>
        <v>1622891.5192799999</v>
      </c>
      <c r="N94" s="221" t="s">
        <v>39</v>
      </c>
      <c r="O94" s="258">
        <f t="shared" si="20"/>
        <v>1622891.5192799999</v>
      </c>
      <c r="P94" s="258">
        <f t="shared" si="17"/>
        <v>1217168.63946</v>
      </c>
      <c r="Q94" s="258">
        <f t="shared" si="18"/>
        <v>2081137.1277599998</v>
      </c>
      <c r="R94" s="258">
        <f t="shared" si="19"/>
        <v>1581137.1277599998</v>
      </c>
      <c r="S94" s="258">
        <f t="shared" si="22"/>
        <v>1581137.1277599998</v>
      </c>
      <c r="T94" s="221"/>
      <c r="U94" s="272">
        <v>22</v>
      </c>
      <c r="V94" s="296" t="s">
        <v>291</v>
      </c>
      <c r="W94" s="219" t="s">
        <v>291</v>
      </c>
      <c r="X94" t="s">
        <v>291</v>
      </c>
      <c r="Z94" s="80" t="str">
        <f>C94&amp;A94</f>
        <v>22A3</v>
      </c>
      <c r="AA94" s="81">
        <v>22</v>
      </c>
      <c r="AB94" s="122">
        <v>8.42</v>
      </c>
      <c r="AC94" s="84"/>
      <c r="AE94" s="153"/>
      <c r="AF94" s="153"/>
    </row>
    <row r="95" spans="1:32" ht="14.25" customHeight="1" x14ac:dyDescent="0.25">
      <c r="A95" s="247" t="s">
        <v>37</v>
      </c>
      <c r="B95" s="221">
        <v>30</v>
      </c>
      <c r="C95" s="221">
        <v>23</v>
      </c>
      <c r="D95" s="221" t="s">
        <v>78</v>
      </c>
      <c r="E95" s="221">
        <v>4</v>
      </c>
      <c r="F95" s="221">
        <v>3</v>
      </c>
      <c r="G95" s="221">
        <v>79.849999999999994</v>
      </c>
      <c r="H95" s="158">
        <f t="shared" si="21"/>
        <v>90</v>
      </c>
      <c r="I95" s="221">
        <f t="shared" si="16"/>
        <v>79.849999999999994</v>
      </c>
      <c r="J95" s="221">
        <v>7.95</v>
      </c>
      <c r="K95" s="266">
        <f>AB99</f>
        <v>8.25</v>
      </c>
      <c r="L95" s="221">
        <v>1</v>
      </c>
      <c r="M95" s="258">
        <f>$K$6*(I95*$AK$12+IF(J95&gt;30,30*$AK$13+IF(J95&gt;60,30*$AK$14+IF(J95&gt;120,60*$AK$15,(J95-60)*$AK$15),(J95-30)*$AK$14),J95*$AK$13)+$AK$17*K95+L95*$AK$18)</f>
        <v>1570475.9121999999</v>
      </c>
      <c r="N95" s="221" t="s">
        <v>39</v>
      </c>
      <c r="O95" s="258">
        <f t="shared" si="20"/>
        <v>1570475.9121999999</v>
      </c>
      <c r="P95" s="258">
        <f t="shared" si="17"/>
        <v>1177856.9341499999</v>
      </c>
      <c r="Q95" s="258">
        <f t="shared" si="18"/>
        <v>2013921.2573999998</v>
      </c>
      <c r="R95" s="258">
        <f t="shared" si="19"/>
        <v>1513921.2573999998</v>
      </c>
      <c r="S95" s="258">
        <f t="shared" si="22"/>
        <v>1513921.2573999998</v>
      </c>
      <c r="T95" s="221"/>
      <c r="U95" s="272">
        <v>27</v>
      </c>
      <c r="V95" s="113" t="s">
        <v>291</v>
      </c>
      <c r="W95" t="s">
        <v>291</v>
      </c>
      <c r="X95" t="s">
        <v>291</v>
      </c>
      <c r="Z95" s="127" t="str">
        <f>C99&amp;A99</f>
        <v>27A3</v>
      </c>
      <c r="AA95" s="128">
        <v>23</v>
      </c>
      <c r="AB95" s="122">
        <v>14.44</v>
      </c>
      <c r="AC95" s="84"/>
      <c r="AE95" s="153"/>
      <c r="AF95" s="153"/>
    </row>
    <row r="96" spans="1:32" ht="14.25" customHeight="1" x14ac:dyDescent="0.25">
      <c r="A96" s="247" t="s">
        <v>37</v>
      </c>
      <c r="B96" s="221">
        <v>30</v>
      </c>
      <c r="C96" s="221">
        <v>24</v>
      </c>
      <c r="D96" s="221" t="s">
        <v>60</v>
      </c>
      <c r="E96" s="221">
        <v>4</v>
      </c>
      <c r="F96" s="221">
        <v>3</v>
      </c>
      <c r="G96" s="221">
        <v>79.62</v>
      </c>
      <c r="H96" s="158">
        <f t="shared" si="21"/>
        <v>90</v>
      </c>
      <c r="I96" s="221">
        <f t="shared" si="16"/>
        <v>79.62</v>
      </c>
      <c r="J96" s="221">
        <v>7.95</v>
      </c>
      <c r="K96" s="265">
        <f>AB96</f>
        <v>7.98</v>
      </c>
      <c r="L96" s="221">
        <v>1</v>
      </c>
      <c r="M96" s="258">
        <f>$K$6*(I96*$AK$12+IF(J96&gt;30,30*$AK$13+IF(J96&gt;60,30*$AK$14+IF(J96&gt;120,60*$AK$15,(J96-60)*$AK$15),(J96-30)*$AK$14),J96*$AK$13)+$AK$17*K96+L96*$AK$18)</f>
        <v>1564843.1361800001</v>
      </c>
      <c r="N96" s="221" t="s">
        <v>39</v>
      </c>
      <c r="O96" s="258">
        <f t="shared" si="20"/>
        <v>1564843.1361800001</v>
      </c>
      <c r="P96" s="258">
        <f t="shared" si="17"/>
        <v>1173632.3521350001</v>
      </c>
      <c r="Q96" s="258">
        <f t="shared" si="18"/>
        <v>2006697.9900600002</v>
      </c>
      <c r="R96" s="258">
        <f t="shared" si="19"/>
        <v>1506697.9900600002</v>
      </c>
      <c r="S96" s="258">
        <f t="shared" si="22"/>
        <v>1506697.9900600002</v>
      </c>
      <c r="T96" s="221"/>
      <c r="U96" s="272">
        <v>24</v>
      </c>
      <c r="V96" s="296" t="s">
        <v>291</v>
      </c>
      <c r="W96" s="219" t="s">
        <v>291</v>
      </c>
      <c r="X96" t="s">
        <v>291</v>
      </c>
      <c r="Z96" s="80" t="str">
        <f>C96&amp;A96</f>
        <v>24A3</v>
      </c>
      <c r="AA96" s="81">
        <v>24</v>
      </c>
      <c r="AB96" s="122">
        <v>7.98</v>
      </c>
      <c r="AC96" s="84"/>
      <c r="AE96" s="153"/>
      <c r="AF96" s="153"/>
    </row>
    <row r="97" spans="1:33" ht="14.25" customHeight="1" x14ac:dyDescent="0.25">
      <c r="A97" s="247" t="s">
        <v>37</v>
      </c>
      <c r="B97" s="221">
        <v>30</v>
      </c>
      <c r="C97" s="221">
        <v>25</v>
      </c>
      <c r="D97" s="221" t="s">
        <v>94</v>
      </c>
      <c r="E97" s="221">
        <v>4</v>
      </c>
      <c r="F97" s="221">
        <v>3</v>
      </c>
      <c r="G97" s="221">
        <v>78.73</v>
      </c>
      <c r="H97" s="158">
        <f t="shared" si="21"/>
        <v>90</v>
      </c>
      <c r="I97" s="221">
        <f t="shared" si="16"/>
        <v>78.73</v>
      </c>
      <c r="J97" s="221">
        <v>11.7</v>
      </c>
      <c r="K97" s="248">
        <f>AB97</f>
        <v>6.98</v>
      </c>
      <c r="L97" s="221">
        <v>1</v>
      </c>
      <c r="M97" s="258">
        <f>$K$6*(I97*$AK$12+IF(J97&gt;30,30*$AK$13+IF(J97&gt;60,30*$AK$14+IF(J97&gt;120,60*$AK$15,(J97-60)*$AK$15),(J97-30)*$AK$14),J97*$AK$13)+$AK$17*K97+L97*$AK$18)</f>
        <v>1563665.86788</v>
      </c>
      <c r="N97" s="221" t="s">
        <v>39</v>
      </c>
      <c r="O97" s="258">
        <f t="shared" si="20"/>
        <v>1563665.86788</v>
      </c>
      <c r="P97" s="258">
        <f t="shared" si="17"/>
        <v>1172749.4009100001</v>
      </c>
      <c r="Q97" s="258">
        <f t="shared" si="18"/>
        <v>2005188.3039599999</v>
      </c>
      <c r="R97" s="258">
        <f t="shared" si="19"/>
        <v>1505188.3039599999</v>
      </c>
      <c r="S97" s="258">
        <f t="shared" si="22"/>
        <v>1505188.3039599999</v>
      </c>
      <c r="T97" s="221"/>
      <c r="U97" s="272">
        <v>25</v>
      </c>
      <c r="V97" s="296" t="s">
        <v>291</v>
      </c>
      <c r="W97" s="219" t="s">
        <v>291</v>
      </c>
      <c r="X97" t="s">
        <v>291</v>
      </c>
      <c r="Z97" s="80" t="str">
        <f>C97&amp;A97</f>
        <v>25A3</v>
      </c>
      <c r="AA97" s="81">
        <v>25</v>
      </c>
      <c r="AB97" s="122">
        <v>6.98</v>
      </c>
      <c r="AC97" s="84"/>
      <c r="AE97" s="153"/>
      <c r="AF97" s="153"/>
    </row>
    <row r="98" spans="1:33" ht="14.25" customHeight="1" x14ac:dyDescent="0.25">
      <c r="A98" s="247" t="s">
        <v>37</v>
      </c>
      <c r="B98" s="221">
        <v>30</v>
      </c>
      <c r="C98" s="221">
        <v>26</v>
      </c>
      <c r="D98" s="221" t="s">
        <v>79</v>
      </c>
      <c r="E98" s="221">
        <v>4</v>
      </c>
      <c r="F98" s="221">
        <v>3</v>
      </c>
      <c r="G98" s="221">
        <v>79.39</v>
      </c>
      <c r="H98" s="158">
        <f t="shared" si="21"/>
        <v>90</v>
      </c>
      <c r="I98" s="221">
        <f t="shared" si="16"/>
        <v>79.39</v>
      </c>
      <c r="J98" s="221">
        <v>11.7</v>
      </c>
      <c r="K98" s="260">
        <f>AB98</f>
        <v>7.26</v>
      </c>
      <c r="L98" s="221">
        <v>1</v>
      </c>
      <c r="M98" s="258">
        <f>$K$6*(I98*$AK$12+IF(J98&gt;30,30*$AK$13+IF(J98&gt;60,30*$AK$14+IF(J98&gt;120,60*$AK$15,(J98-60)*$AK$15),(J98-30)*$AK$14),J98*$AK$13)+$AK$17*K98+L98*$AK$18)</f>
        <v>1577141.0619600001</v>
      </c>
      <c r="N98" s="221" t="s">
        <v>39</v>
      </c>
      <c r="O98" s="258">
        <f t="shared" si="20"/>
        <v>1577141.0619600001</v>
      </c>
      <c r="P98" s="258">
        <f t="shared" si="17"/>
        <v>1182855.7964699999</v>
      </c>
      <c r="Q98" s="258">
        <f t="shared" si="18"/>
        <v>2022468.40332</v>
      </c>
      <c r="R98" s="258">
        <f t="shared" si="19"/>
        <v>1522468.40332</v>
      </c>
      <c r="S98" s="258">
        <f t="shared" si="22"/>
        <v>1522468.40332</v>
      </c>
      <c r="T98" s="221"/>
      <c r="U98" s="272">
        <v>26</v>
      </c>
      <c r="V98" s="296" t="s">
        <v>291</v>
      </c>
      <c r="W98" s="219" t="s">
        <v>291</v>
      </c>
      <c r="X98" s="219" t="s">
        <v>291</v>
      </c>
      <c r="Z98" s="80" t="str">
        <f>C98&amp;A98</f>
        <v>26A3</v>
      </c>
      <c r="AA98" s="81">
        <v>26</v>
      </c>
      <c r="AB98" s="122">
        <v>7.26</v>
      </c>
      <c r="AC98" s="84"/>
      <c r="AE98" s="153"/>
      <c r="AF98" s="153"/>
    </row>
    <row r="99" spans="1:33" ht="14.25" customHeight="1" x14ac:dyDescent="0.25">
      <c r="A99" s="247" t="s">
        <v>37</v>
      </c>
      <c r="B99" s="221">
        <v>30</v>
      </c>
      <c r="C99" s="221">
        <v>27</v>
      </c>
      <c r="D99" s="221" t="s">
        <v>95</v>
      </c>
      <c r="E99" s="221">
        <v>5</v>
      </c>
      <c r="F99" s="221">
        <v>5</v>
      </c>
      <c r="G99" s="221">
        <v>148.33000000000001</v>
      </c>
      <c r="H99" s="158">
        <f t="shared" si="21"/>
        <v>125</v>
      </c>
      <c r="I99" s="221">
        <f t="shared" si="16"/>
        <v>144.8305</v>
      </c>
      <c r="J99" s="221">
        <v>16.559999999999999</v>
      </c>
      <c r="K99" s="265">
        <f>AB95</f>
        <v>14.44</v>
      </c>
      <c r="L99" s="221">
        <v>1</v>
      </c>
      <c r="M99" s="258">
        <f>$K$6*(I99*$AK$12+IF(J99&gt;30,30*$AK$13+IF(J99&gt;60,30*$AK$14+IF(J99&gt;120,60*$AK$15,(J99-60)*$AK$15),(J99-30)*$AK$14),J99*$AK$13)+$AK$17*K99+L99*$AK$18)</f>
        <v>2827807.5125099998</v>
      </c>
      <c r="N99" s="221" t="s">
        <v>36</v>
      </c>
      <c r="O99" s="258">
        <f t="shared" si="20"/>
        <v>2827807.5125099998</v>
      </c>
      <c r="P99" s="258">
        <f t="shared" si="17"/>
        <v>2120855.6343824998</v>
      </c>
      <c r="Q99" s="258">
        <f t="shared" si="18"/>
        <v>3626277.6251699994</v>
      </c>
      <c r="R99" s="258">
        <f t="shared" si="19"/>
        <v>3126277.6251699994</v>
      </c>
      <c r="S99" s="258"/>
      <c r="T99" s="221"/>
      <c r="U99" s="272">
        <v>23</v>
      </c>
      <c r="V99" s="113"/>
      <c r="Z99" s="127" t="str">
        <f>C95&amp;A95</f>
        <v>23A3</v>
      </c>
      <c r="AA99" s="128">
        <v>27</v>
      </c>
      <c r="AB99" s="123">
        <v>8.25</v>
      </c>
      <c r="AC99" s="84"/>
      <c r="AE99" s="153"/>
      <c r="AF99" s="153"/>
    </row>
    <row r="100" spans="1:33" ht="14.25" customHeight="1" thickBot="1" x14ac:dyDescent="0.3">
      <c r="A100" s="250" t="s">
        <v>37</v>
      </c>
      <c r="B100" s="251">
        <v>30</v>
      </c>
      <c r="C100" s="251">
        <v>28</v>
      </c>
      <c r="D100" s="251" t="s">
        <v>96</v>
      </c>
      <c r="E100" s="251">
        <v>5</v>
      </c>
      <c r="F100" s="251">
        <v>5</v>
      </c>
      <c r="G100" s="251">
        <v>133.53</v>
      </c>
      <c r="H100" s="141">
        <f t="shared" si="21"/>
        <v>125</v>
      </c>
      <c r="I100" s="251">
        <f t="shared" si="16"/>
        <v>132.25049999999999</v>
      </c>
      <c r="J100" s="251">
        <v>42.68</v>
      </c>
      <c r="K100" s="267">
        <f>AB100</f>
        <v>4.92</v>
      </c>
      <c r="L100" s="251">
        <v>1</v>
      </c>
      <c r="M100" s="261">
        <f>$K$6*(I100*$AK$12+IF(J100&gt;30,30*$AK$13+IF(J100&gt;60,30*$AK$14+IF(J100&gt;120,60*$AK$15,(J100-60)*$AK$15),(J100-30)*$AK$14),J100*$AK$13)+$AK$17*K100+L100*$AK$18)</f>
        <v>2667191.8927499996</v>
      </c>
      <c r="N100" s="251" t="s">
        <v>39</v>
      </c>
      <c r="O100" s="261">
        <f t="shared" si="20"/>
        <v>2667191.8927499996</v>
      </c>
      <c r="P100" s="261">
        <f t="shared" si="17"/>
        <v>2000393.9195624997</v>
      </c>
      <c r="Q100" s="261">
        <f t="shared" si="18"/>
        <v>3420309.9892499996</v>
      </c>
      <c r="R100" s="261">
        <f t="shared" si="19"/>
        <v>2920309.9892499996</v>
      </c>
      <c r="S100" s="261">
        <f t="shared" si="22"/>
        <v>2667191.8927499996</v>
      </c>
      <c r="T100" s="251"/>
      <c r="U100" s="274">
        <v>28</v>
      </c>
      <c r="V100" s="113" t="s">
        <v>291</v>
      </c>
      <c r="W100" t="s">
        <v>291</v>
      </c>
      <c r="X100" t="s">
        <v>291</v>
      </c>
      <c r="Z100" s="86" t="str">
        <f>C100&amp;A100</f>
        <v>28A3</v>
      </c>
      <c r="AA100" s="87">
        <v>28</v>
      </c>
      <c r="AB100" s="124">
        <v>4.92</v>
      </c>
      <c r="AC100" s="89"/>
      <c r="AE100" s="153"/>
      <c r="AF100" s="153"/>
    </row>
    <row r="101" spans="1:33" ht="14.25" customHeight="1" thickBot="1" x14ac:dyDescent="0.3">
      <c r="A101" s="231" t="s">
        <v>65</v>
      </c>
      <c r="B101" s="319"/>
      <c r="C101" s="319"/>
      <c r="D101" s="319"/>
      <c r="E101" s="319"/>
      <c r="F101" s="319"/>
      <c r="G101" s="154">
        <f>SUMIF(N73:N100,"כן",G73:G100)/COUNT(C73:C100)</f>
        <v>77.038928571428599</v>
      </c>
      <c r="H101" s="154" t="e">
        <f t="shared" si="21"/>
        <v>#N/A</v>
      </c>
      <c r="I101" s="154"/>
      <c r="J101" s="155"/>
      <c r="K101" s="227" t="s">
        <v>66</v>
      </c>
      <c r="L101" s="227"/>
      <c r="M101" s="227"/>
      <c r="N101" s="156">
        <f>COUNTIF(N73:N100,"כן")/COUNT(C73:C100)</f>
        <v>0.8928571428571429</v>
      </c>
      <c r="O101" s="156"/>
      <c r="P101" s="156"/>
      <c r="Q101" s="156"/>
      <c r="R101" s="156"/>
      <c r="S101" s="156"/>
      <c r="T101" s="157"/>
      <c r="U101" s="299"/>
      <c r="V101" s="113"/>
      <c r="AA101" s="153"/>
      <c r="AB101" s="153"/>
      <c r="AE101" s="153"/>
      <c r="AF101" s="153"/>
    </row>
    <row r="102" spans="1:33" ht="15.75" customHeight="1" x14ac:dyDescent="0.25">
      <c r="A102" s="243" t="s">
        <v>97</v>
      </c>
      <c r="B102" s="244">
        <v>38</v>
      </c>
      <c r="C102" s="244">
        <v>1</v>
      </c>
      <c r="D102" s="244" t="s">
        <v>98</v>
      </c>
      <c r="E102" s="244" t="s">
        <v>83</v>
      </c>
      <c r="F102" s="244">
        <v>6</v>
      </c>
      <c r="G102" s="244">
        <v>163.69</v>
      </c>
      <c r="H102" s="162">
        <f t="shared" si="21"/>
        <v>145</v>
      </c>
      <c r="I102" s="244">
        <f t="shared" ref="I102:I129" si="23">IF(G102&gt;H102,(G102-H102)*$AL$12+H102,G102)</f>
        <v>160.88650000000001</v>
      </c>
      <c r="J102" s="244">
        <v>162.97999999999999</v>
      </c>
      <c r="K102" s="275">
        <f>AB102</f>
        <v>14.09</v>
      </c>
      <c r="L102" s="276">
        <v>1</v>
      </c>
      <c r="M102" s="256">
        <f>$K$6*(I102*$AK$12+IF(J102&gt;30,30*$AK$13+IF(J102&gt;60,30*$AK$14+IF(J102&gt;120,60*$AK$15,(J102-60)*$AK$15),(J102-30)*$AK$14),J102*$AK$13)+$AK$17*K102+L102*$AK$18)</f>
        <v>3407077.8515700004</v>
      </c>
      <c r="N102" s="244" t="s">
        <v>36</v>
      </c>
      <c r="O102" s="256">
        <f>M102</f>
        <v>3407077.8515700004</v>
      </c>
      <c r="P102" s="256">
        <f t="shared" ref="P102:P129" si="24">O102*(1-$AK$19)</f>
        <v>2555308.3886775002</v>
      </c>
      <c r="Q102" s="256">
        <f t="shared" ref="Q102:Q129" si="25">$AK$22*(I102*$AK$12+IF(J102&gt;30,30*$AK$13+IF(J102&gt;60,30*$AK$14+IF(J102&gt;120,60*$AK$15,(J102-60)*$AK$15),(J102-30)*$AK$14),J102*$AK$13)+$AK$17*K102+L102*$AK$18)</f>
        <v>4369112.8641900001</v>
      </c>
      <c r="R102" s="256">
        <f t="shared" ref="R102:R129" si="26">Q102-$AK$20</f>
        <v>3869112.8641900001</v>
      </c>
      <c r="S102" s="256"/>
      <c r="T102" s="244"/>
      <c r="U102" s="277">
        <v>1</v>
      </c>
      <c r="V102" s="113"/>
      <c r="Z102" s="189" t="str">
        <f>C102&amp;A102</f>
        <v>1B1</v>
      </c>
      <c r="AA102" s="190">
        <v>1</v>
      </c>
      <c r="AB102" s="191">
        <v>14.09</v>
      </c>
      <c r="AC102" s="186"/>
      <c r="AE102" s="153"/>
      <c r="AF102" s="153"/>
      <c r="AG102" s="153"/>
    </row>
    <row r="103" spans="1:33" ht="15.75" customHeight="1" x14ac:dyDescent="0.25">
      <c r="A103" s="247" t="s">
        <v>97</v>
      </c>
      <c r="B103" s="221">
        <v>38</v>
      </c>
      <c r="C103" s="221">
        <v>2</v>
      </c>
      <c r="D103" s="221" t="s">
        <v>99</v>
      </c>
      <c r="E103" s="221" t="s">
        <v>83</v>
      </c>
      <c r="F103" s="221">
        <v>6</v>
      </c>
      <c r="G103" s="221">
        <v>161.47999999999999</v>
      </c>
      <c r="H103" s="158">
        <f t="shared" si="21"/>
        <v>145</v>
      </c>
      <c r="I103" s="221">
        <f t="shared" si="23"/>
        <v>159.00799999999998</v>
      </c>
      <c r="J103" s="221">
        <v>241.79</v>
      </c>
      <c r="K103" s="271">
        <f>AB103</f>
        <v>14.09</v>
      </c>
      <c r="L103" s="248">
        <v>1</v>
      </c>
      <c r="M103" s="258">
        <f>$K$6*(I103*$AK$12+IF(J103&gt;30,30*$AK$13+IF(J103&gt;60,30*$AK$14+IF(J103&gt;120,60*$AK$15,(J103-60)*$AK$15),(J103-30)*$AK$14),J103*$AK$13)+$AK$17*K103+L103*$AK$18)</f>
        <v>3373054.7976999995</v>
      </c>
      <c r="N103" s="221" t="s">
        <v>36</v>
      </c>
      <c r="O103" s="258">
        <f t="shared" ref="O103:O129" si="27">M103</f>
        <v>3373054.7976999995</v>
      </c>
      <c r="P103" s="258">
        <f t="shared" si="24"/>
        <v>2529791.0982749998</v>
      </c>
      <c r="Q103" s="258">
        <f t="shared" si="25"/>
        <v>4325482.935899999</v>
      </c>
      <c r="R103" s="258">
        <f t="shared" si="26"/>
        <v>3825482.935899999</v>
      </c>
      <c r="S103" s="258"/>
      <c r="T103" s="221"/>
      <c r="U103" s="278">
        <v>2</v>
      </c>
      <c r="V103" s="113"/>
      <c r="Z103" s="192" t="str">
        <f>C103&amp;A103</f>
        <v>2B1</v>
      </c>
      <c r="AA103" s="193">
        <v>2</v>
      </c>
      <c r="AB103" s="194">
        <v>14.09</v>
      </c>
      <c r="AC103" s="187"/>
      <c r="AE103" s="153"/>
      <c r="AF103" s="153"/>
    </row>
    <row r="104" spans="1:33" ht="15.75" customHeight="1" x14ac:dyDescent="0.25">
      <c r="A104" s="247" t="s">
        <v>97</v>
      </c>
      <c r="B104" s="221">
        <v>38</v>
      </c>
      <c r="C104" s="221">
        <v>3</v>
      </c>
      <c r="D104" s="221" t="s">
        <v>100</v>
      </c>
      <c r="E104" s="221">
        <v>-3</v>
      </c>
      <c r="F104" s="221">
        <v>5</v>
      </c>
      <c r="G104" s="221">
        <v>123.96</v>
      </c>
      <c r="H104" s="158">
        <f t="shared" si="21"/>
        <v>125</v>
      </c>
      <c r="I104" s="221">
        <f t="shared" si="23"/>
        <v>123.96</v>
      </c>
      <c r="J104" s="221">
        <v>24.3</v>
      </c>
      <c r="K104" s="248">
        <f>AB104</f>
        <v>10.8</v>
      </c>
      <c r="L104" s="248">
        <v>1</v>
      </c>
      <c r="M104" s="258">
        <f>$K$6*(I104*$AK$12+IF(J104&gt;30,30*$AK$13+IF(J104&gt;60,30*$AK$14+IF(J104&gt;120,60*$AK$15,(J104-60)*$AK$15),(J104-30)*$AK$14),J104*$AK$13)+$AK$17*K104+L104*$AK$18)</f>
        <v>2472082.3118000003</v>
      </c>
      <c r="N104" s="221" t="s">
        <v>39</v>
      </c>
      <c r="O104" s="258">
        <f t="shared" si="27"/>
        <v>2472082.3118000003</v>
      </c>
      <c r="P104" s="258">
        <f t="shared" si="24"/>
        <v>1854061.7338500002</v>
      </c>
      <c r="Q104" s="258">
        <f t="shared" si="25"/>
        <v>3170108.5506000002</v>
      </c>
      <c r="R104" s="258">
        <f t="shared" si="26"/>
        <v>2670108.5506000002</v>
      </c>
      <c r="S104" s="258">
        <f t="shared" si="22"/>
        <v>2472082.3118000003</v>
      </c>
      <c r="T104" s="221"/>
      <c r="U104" s="278">
        <v>3</v>
      </c>
      <c r="V104" s="296" t="s">
        <v>291</v>
      </c>
      <c r="W104" s="219" t="s">
        <v>291</v>
      </c>
      <c r="X104" s="219" t="s">
        <v>291</v>
      </c>
      <c r="Z104" s="192" t="str">
        <f>C104&amp;A104</f>
        <v>3B1</v>
      </c>
      <c r="AA104" s="193">
        <v>3</v>
      </c>
      <c r="AB104" s="194">
        <v>10.8</v>
      </c>
      <c r="AC104" s="187"/>
      <c r="AE104" s="153"/>
      <c r="AF104" s="153"/>
    </row>
    <row r="105" spans="1:33" ht="15.75" customHeight="1" x14ac:dyDescent="0.25">
      <c r="A105" s="247" t="s">
        <v>97</v>
      </c>
      <c r="B105" s="221">
        <v>38</v>
      </c>
      <c r="C105" s="221">
        <v>4</v>
      </c>
      <c r="D105" s="221" t="s">
        <v>101</v>
      </c>
      <c r="E105" s="221">
        <v>-3</v>
      </c>
      <c r="F105" s="221">
        <v>7</v>
      </c>
      <c r="G105" s="221">
        <v>153.49</v>
      </c>
      <c r="H105" s="158">
        <f t="shared" si="21"/>
        <v>300</v>
      </c>
      <c r="I105" s="221">
        <f t="shared" si="23"/>
        <v>153.49</v>
      </c>
      <c r="J105" s="221">
        <v>24.3</v>
      </c>
      <c r="K105" s="260">
        <f>AB105</f>
        <v>8.93</v>
      </c>
      <c r="L105" s="260">
        <v>1</v>
      </c>
      <c r="M105" s="258">
        <f>$K$6*(I105*$AK$12+IF(J105&gt;30,30*$AK$13+IF(J105&gt;60,30*$AK$14+IF(J105&gt;120,60*$AK$15,(J105-60)*$AK$15),(J105-30)*$AK$14),J105*$AK$13)+$AK$17*K105+L105*$AK$18)</f>
        <v>2996763.6253800001</v>
      </c>
      <c r="N105" s="221" t="s">
        <v>36</v>
      </c>
      <c r="O105" s="258">
        <f t="shared" si="27"/>
        <v>2996763.6253800001</v>
      </c>
      <c r="P105" s="258">
        <f t="shared" si="24"/>
        <v>2247572.7190350001</v>
      </c>
      <c r="Q105" s="258">
        <f t="shared" si="25"/>
        <v>3842940.8064599996</v>
      </c>
      <c r="R105" s="258">
        <f t="shared" si="26"/>
        <v>3342940.8064599996</v>
      </c>
      <c r="S105" s="258"/>
      <c r="T105" s="221"/>
      <c r="U105" s="278">
        <v>4</v>
      </c>
      <c r="V105" s="113"/>
      <c r="Z105" s="192" t="str">
        <f>C105&amp;A105</f>
        <v>4B1</v>
      </c>
      <c r="AA105" s="193">
        <v>4</v>
      </c>
      <c r="AB105" s="194">
        <v>8.93</v>
      </c>
      <c r="AC105" s="187"/>
      <c r="AE105" s="153"/>
      <c r="AF105" s="153"/>
    </row>
    <row r="106" spans="1:33" ht="15.75" customHeight="1" x14ac:dyDescent="0.25">
      <c r="A106" s="247" t="s">
        <v>97</v>
      </c>
      <c r="B106" s="221">
        <v>38</v>
      </c>
      <c r="C106" s="221">
        <v>5</v>
      </c>
      <c r="D106" s="221" t="s">
        <v>102</v>
      </c>
      <c r="E106" s="221">
        <v>-2</v>
      </c>
      <c r="F106" s="221">
        <v>5</v>
      </c>
      <c r="G106" s="221">
        <v>124.85</v>
      </c>
      <c r="H106" s="158">
        <f t="shared" si="21"/>
        <v>125</v>
      </c>
      <c r="I106" s="221">
        <f t="shared" si="23"/>
        <v>124.85</v>
      </c>
      <c r="J106" s="221">
        <v>16.309999999999999</v>
      </c>
      <c r="K106" s="248">
        <f>AB106</f>
        <v>9.4</v>
      </c>
      <c r="L106" s="260">
        <v>1</v>
      </c>
      <c r="M106" s="258">
        <f>$K$6*(I106*$AK$12+IF(J106&gt;30,30*$AK$13+IF(J106&gt;60,30*$AK$14+IF(J106&gt;120,60*$AK$15,(J106-60)*$AK$15),(J106-30)*$AK$14),J106*$AK$13)+$AK$17*K106+L106*$AK$18)</f>
        <v>2437180.8346599997</v>
      </c>
      <c r="N106" s="221" t="s">
        <v>39</v>
      </c>
      <c r="O106" s="258">
        <f t="shared" si="27"/>
        <v>2437180.8346599997</v>
      </c>
      <c r="P106" s="258">
        <f t="shared" si="24"/>
        <v>1827885.6259949999</v>
      </c>
      <c r="Q106" s="258">
        <f t="shared" si="25"/>
        <v>3125352.1642199997</v>
      </c>
      <c r="R106" s="258">
        <f t="shared" si="26"/>
        <v>2625352.1642199997</v>
      </c>
      <c r="S106" s="258">
        <f t="shared" si="22"/>
        <v>2437180.8346599997</v>
      </c>
      <c r="T106" s="221"/>
      <c r="U106" s="278">
        <v>5</v>
      </c>
      <c r="V106" s="297" t="s">
        <v>291</v>
      </c>
      <c r="W106" s="219" t="s">
        <v>291</v>
      </c>
      <c r="X106" s="219" t="s">
        <v>291</v>
      </c>
      <c r="Z106" s="192" t="str">
        <f>C106&amp;A106</f>
        <v>5B1</v>
      </c>
      <c r="AA106" s="193">
        <v>5</v>
      </c>
      <c r="AB106" s="194">
        <v>9.4</v>
      </c>
      <c r="AC106" s="187"/>
      <c r="AE106" s="153"/>
      <c r="AF106" s="153"/>
    </row>
    <row r="107" spans="1:33" ht="15.75" customHeight="1" x14ac:dyDescent="0.25">
      <c r="A107" s="247" t="s">
        <v>97</v>
      </c>
      <c r="B107" s="221">
        <v>38</v>
      </c>
      <c r="C107" s="221">
        <v>6</v>
      </c>
      <c r="D107" s="221" t="s">
        <v>103</v>
      </c>
      <c r="E107" s="221">
        <v>-2</v>
      </c>
      <c r="F107" s="221">
        <v>7</v>
      </c>
      <c r="G107" s="221">
        <v>154.38</v>
      </c>
      <c r="H107" s="158">
        <f t="shared" si="21"/>
        <v>300</v>
      </c>
      <c r="I107" s="221">
        <f t="shared" si="23"/>
        <v>154.38</v>
      </c>
      <c r="J107" s="221">
        <v>16.309999999999999</v>
      </c>
      <c r="K107" s="248">
        <f>AB107</f>
        <v>16.04</v>
      </c>
      <c r="L107" s="260">
        <v>1</v>
      </c>
      <c r="M107" s="258">
        <f>$K$6*(I107*$AK$12+IF(J107&gt;30,30*$AK$13+IF(J107&gt;60,30*$AK$14+IF(J107&gt;120,60*$AK$15,(J107-60)*$AK$15),(J107-30)*$AK$14),J107*$AK$13)+$AK$17*K107+L107*$AK$18)</f>
        <v>3008101.6247</v>
      </c>
      <c r="N107" s="221" t="s">
        <v>36</v>
      </c>
      <c r="O107" s="258">
        <f t="shared" si="27"/>
        <v>3008101.6247</v>
      </c>
      <c r="P107" s="258">
        <f t="shared" si="24"/>
        <v>2256076.2185249999</v>
      </c>
      <c r="Q107" s="258">
        <f t="shared" si="25"/>
        <v>3857480.2448999998</v>
      </c>
      <c r="R107" s="258">
        <f t="shared" si="26"/>
        <v>3357480.2448999998</v>
      </c>
      <c r="S107" s="258"/>
      <c r="T107" s="221"/>
      <c r="U107" s="278">
        <v>6</v>
      </c>
      <c r="V107" s="113"/>
      <c r="Z107" s="192" t="str">
        <f>C107&amp;A107</f>
        <v>6B1</v>
      </c>
      <c r="AA107" s="193">
        <v>6</v>
      </c>
      <c r="AB107" s="194">
        <v>16.04</v>
      </c>
      <c r="AC107" s="187"/>
      <c r="AE107" s="153"/>
      <c r="AF107" s="153"/>
    </row>
    <row r="108" spans="1:33" ht="15.75" customHeight="1" x14ac:dyDescent="0.25">
      <c r="A108" s="247" t="s">
        <v>97</v>
      </c>
      <c r="B108" s="221">
        <v>38</v>
      </c>
      <c r="C108" s="221">
        <v>7</v>
      </c>
      <c r="D108" s="221" t="s">
        <v>104</v>
      </c>
      <c r="E108" s="221">
        <v>-1</v>
      </c>
      <c r="F108" s="221">
        <v>6</v>
      </c>
      <c r="G108" s="221">
        <v>142.18</v>
      </c>
      <c r="H108" s="158">
        <f t="shared" si="21"/>
        <v>145</v>
      </c>
      <c r="I108" s="221">
        <f t="shared" si="23"/>
        <v>142.18</v>
      </c>
      <c r="J108" s="221">
        <v>23.97</v>
      </c>
      <c r="K108" s="260">
        <f>AB108</f>
        <v>8.3699999999999992</v>
      </c>
      <c r="L108" s="248">
        <v>1</v>
      </c>
      <c r="M108" s="258">
        <f>$K$6*(I108*$AK$12+IF(J108&gt;30,30*$AK$13+IF(J108&gt;60,30*$AK$14+IF(J108&gt;120,60*$AK$15,(J108-60)*$AK$15),(J108-30)*$AK$14),J108*$AK$13)+$AK$17*K108+L108*$AK$18)</f>
        <v>2787083.0852399999</v>
      </c>
      <c r="N108" s="221" t="s">
        <v>39</v>
      </c>
      <c r="O108" s="258">
        <f t="shared" si="27"/>
        <v>2787083.0852399999</v>
      </c>
      <c r="P108" s="258">
        <f t="shared" si="24"/>
        <v>2090312.3139299999</v>
      </c>
      <c r="Q108" s="258">
        <f t="shared" si="25"/>
        <v>3574054.0990800001</v>
      </c>
      <c r="R108" s="258">
        <f t="shared" si="26"/>
        <v>3074054.0990800001</v>
      </c>
      <c r="S108" s="258">
        <f t="shared" si="22"/>
        <v>2787083.0852399999</v>
      </c>
      <c r="T108" s="221"/>
      <c r="U108" s="278">
        <v>7</v>
      </c>
      <c r="V108" s="296" t="s">
        <v>291</v>
      </c>
      <c r="W108" s="219" t="s">
        <v>291</v>
      </c>
      <c r="X108" s="219" t="s">
        <v>291</v>
      </c>
      <c r="Z108" s="192" t="str">
        <f>C108&amp;A108</f>
        <v>7B1</v>
      </c>
      <c r="AA108" s="193">
        <v>7</v>
      </c>
      <c r="AB108" s="194">
        <v>8.3699999999999992</v>
      </c>
      <c r="AC108" s="187"/>
      <c r="AE108" s="153"/>
      <c r="AF108" s="153"/>
    </row>
    <row r="109" spans="1:33" ht="15.75" customHeight="1" x14ac:dyDescent="0.25">
      <c r="A109" s="247" t="s">
        <v>97</v>
      </c>
      <c r="B109" s="221">
        <v>38</v>
      </c>
      <c r="C109" s="221">
        <v>8</v>
      </c>
      <c r="D109" s="221" t="s">
        <v>105</v>
      </c>
      <c r="E109" s="221">
        <v>-1</v>
      </c>
      <c r="F109" s="221">
        <v>6</v>
      </c>
      <c r="G109" s="221">
        <v>138.85</v>
      </c>
      <c r="H109" s="158">
        <f t="shared" si="21"/>
        <v>145</v>
      </c>
      <c r="I109" s="221">
        <f t="shared" si="23"/>
        <v>138.85</v>
      </c>
      <c r="J109" s="221">
        <v>23.97</v>
      </c>
      <c r="K109" s="248">
        <f>AB109</f>
        <v>8.1300000000000008</v>
      </c>
      <c r="L109" s="248">
        <v>1</v>
      </c>
      <c r="M109" s="258">
        <f>$K$6*(I109*$AK$12+IF(J109&gt;30,30*$AK$13+IF(J109&gt;60,30*$AK$14+IF(J109&gt;120,60*$AK$15,(J109-60)*$AK$15),(J109-30)*$AK$14),J109*$AK$13)+$AK$17*K109+L109*$AK$18)</f>
        <v>2725466.6735999999</v>
      </c>
      <c r="N109" s="221" t="s">
        <v>39</v>
      </c>
      <c r="O109" s="258">
        <f t="shared" si="27"/>
        <v>2725466.6735999999</v>
      </c>
      <c r="P109" s="258">
        <f t="shared" si="24"/>
        <v>2044100.0052</v>
      </c>
      <c r="Q109" s="258">
        <f t="shared" si="25"/>
        <v>3495039.4511999995</v>
      </c>
      <c r="R109" s="258">
        <f t="shared" si="26"/>
        <v>2995039.4511999995</v>
      </c>
      <c r="S109" s="258">
        <f t="shared" si="22"/>
        <v>2725466.6735999999</v>
      </c>
      <c r="T109" s="221"/>
      <c r="U109" s="278">
        <v>8</v>
      </c>
      <c r="V109" s="296" t="s">
        <v>291</v>
      </c>
      <c r="W109" s="219" t="s">
        <v>291</v>
      </c>
      <c r="X109" s="219" t="s">
        <v>291</v>
      </c>
      <c r="Z109" s="192" t="str">
        <f>C109&amp;A109</f>
        <v>8B1</v>
      </c>
      <c r="AA109" s="193">
        <v>8</v>
      </c>
      <c r="AB109" s="194">
        <v>8.1300000000000008</v>
      </c>
      <c r="AC109" s="187"/>
      <c r="AE109" s="153"/>
      <c r="AF109" s="153"/>
      <c r="AG109" s="153"/>
    </row>
    <row r="110" spans="1:33" ht="15.75" customHeight="1" x14ac:dyDescent="0.25">
      <c r="A110" s="247" t="s">
        <v>97</v>
      </c>
      <c r="B110" s="221">
        <v>38</v>
      </c>
      <c r="C110" s="221">
        <v>9</v>
      </c>
      <c r="D110" s="221" t="s">
        <v>106</v>
      </c>
      <c r="E110" s="221">
        <v>0</v>
      </c>
      <c r="F110" s="221">
        <v>6</v>
      </c>
      <c r="G110" s="221">
        <v>142.18</v>
      </c>
      <c r="H110" s="158">
        <f t="shared" si="21"/>
        <v>145</v>
      </c>
      <c r="I110" s="221">
        <f t="shared" si="23"/>
        <v>142.18</v>
      </c>
      <c r="J110" s="221">
        <v>16.309999999999999</v>
      </c>
      <c r="K110" s="248">
        <f>AB110</f>
        <v>7.97</v>
      </c>
      <c r="L110" s="260">
        <v>1</v>
      </c>
      <c r="M110" s="258">
        <f>$K$6*(I110*$AK$12+IF(J110&gt;30,30*$AK$13+IF(J110&gt;60,30*$AK$14+IF(J110&gt;120,60*$AK$15,(J110-60)*$AK$15),(J110-30)*$AK$14),J110*$AK$13)+$AK$17*K110+L110*$AK$18)</f>
        <v>2743288.7044799998</v>
      </c>
      <c r="N110" s="221" t="s">
        <v>39</v>
      </c>
      <c r="O110" s="258">
        <f t="shared" si="27"/>
        <v>2743288.7044799998</v>
      </c>
      <c r="P110" s="258">
        <f t="shared" si="24"/>
        <v>2057466.5283599999</v>
      </c>
      <c r="Q110" s="258">
        <f t="shared" si="25"/>
        <v>3517893.7761599999</v>
      </c>
      <c r="R110" s="258">
        <f t="shared" si="26"/>
        <v>3017893.7761599999</v>
      </c>
      <c r="S110" s="258">
        <f t="shared" si="22"/>
        <v>2743288.7044799998</v>
      </c>
      <c r="T110" s="221"/>
      <c r="U110" s="278">
        <v>9</v>
      </c>
      <c r="V110" s="296" t="s">
        <v>291</v>
      </c>
      <c r="W110" s="219" t="s">
        <v>291</v>
      </c>
      <c r="X110" s="219" t="s">
        <v>291</v>
      </c>
      <c r="Z110" s="192" t="str">
        <f>C110&amp;A110</f>
        <v>9B1</v>
      </c>
      <c r="AA110" s="193">
        <v>9</v>
      </c>
      <c r="AB110" s="194">
        <v>7.97</v>
      </c>
      <c r="AC110" s="187"/>
      <c r="AE110" s="153"/>
      <c r="AF110" s="153"/>
    </row>
    <row r="111" spans="1:33" ht="15.75" customHeight="1" x14ac:dyDescent="0.25">
      <c r="A111" s="247" t="s">
        <v>97</v>
      </c>
      <c r="B111" s="221">
        <v>38</v>
      </c>
      <c r="C111" s="221">
        <v>10</v>
      </c>
      <c r="D111" s="221" t="s">
        <v>107</v>
      </c>
      <c r="E111" s="221">
        <v>0</v>
      </c>
      <c r="F111" s="221">
        <v>6</v>
      </c>
      <c r="G111" s="221">
        <v>138.85</v>
      </c>
      <c r="H111" s="158">
        <f t="shared" si="21"/>
        <v>145</v>
      </c>
      <c r="I111" s="221">
        <f t="shared" si="23"/>
        <v>138.85</v>
      </c>
      <c r="J111" s="221">
        <v>16.309999999999999</v>
      </c>
      <c r="K111" s="260">
        <f>AB111</f>
        <v>7.99</v>
      </c>
      <c r="L111" s="260">
        <v>1</v>
      </c>
      <c r="M111" s="258">
        <f>$K$6*(I111*$AK$12+IF(J111&gt;30,30*$AK$13+IF(J111&gt;60,30*$AK$14+IF(J111&gt;120,60*$AK$15,(J111-60)*$AK$15),(J111-30)*$AK$14),J111*$AK$13)+$AK$17*K111+L111*$AK$18)</f>
        <v>2683085.0147999995</v>
      </c>
      <c r="N111" s="221" t="s">
        <v>39</v>
      </c>
      <c r="O111" s="258">
        <f t="shared" si="27"/>
        <v>2683085.0147999995</v>
      </c>
      <c r="P111" s="258">
        <f t="shared" si="24"/>
        <v>2012313.7610999998</v>
      </c>
      <c r="Q111" s="258">
        <f t="shared" si="25"/>
        <v>3440690.7515999996</v>
      </c>
      <c r="R111" s="258">
        <f t="shared" si="26"/>
        <v>2940690.7515999996</v>
      </c>
      <c r="S111" s="258">
        <f t="shared" si="22"/>
        <v>2683085.0147999995</v>
      </c>
      <c r="T111" s="221"/>
      <c r="U111" s="278">
        <v>10</v>
      </c>
      <c r="V111" s="296" t="s">
        <v>291</v>
      </c>
      <c r="W111" s="219" t="s">
        <v>291</v>
      </c>
      <c r="X111" s="219" t="s">
        <v>291</v>
      </c>
      <c r="Z111" s="192" t="str">
        <f>C111&amp;A111</f>
        <v>10B1</v>
      </c>
      <c r="AA111" s="193">
        <v>10</v>
      </c>
      <c r="AB111" s="194">
        <v>7.99</v>
      </c>
      <c r="AC111" s="187"/>
      <c r="AE111" s="153"/>
      <c r="AF111" s="153"/>
    </row>
    <row r="112" spans="1:33" ht="15.75" customHeight="1" x14ac:dyDescent="0.25">
      <c r="A112" s="247" t="s">
        <v>97</v>
      </c>
      <c r="B112" s="221">
        <v>38</v>
      </c>
      <c r="C112" s="221">
        <v>11</v>
      </c>
      <c r="D112" s="221" t="s">
        <v>108</v>
      </c>
      <c r="E112" s="221">
        <v>1</v>
      </c>
      <c r="F112" s="221">
        <v>5</v>
      </c>
      <c r="G112" s="221">
        <v>124.33</v>
      </c>
      <c r="H112" s="158">
        <f t="shared" si="21"/>
        <v>125</v>
      </c>
      <c r="I112" s="221">
        <f t="shared" si="23"/>
        <v>124.33</v>
      </c>
      <c r="J112" s="221">
        <v>31.31</v>
      </c>
      <c r="K112" s="248">
        <f>AB112</f>
        <v>10.44</v>
      </c>
      <c r="L112" s="260">
        <v>1</v>
      </c>
      <c r="M112" s="258">
        <f>$K$6*(I112*$AK$12+IF(J112&gt;30,30*$AK$13+IF(J112&gt;60,30*$AK$14+IF(J112&gt;120,60*$AK$15,(J112-60)*$AK$15),(J112-30)*$AK$14),J112*$AK$13)+$AK$17*K112+L112*$AK$18)</f>
        <v>2512544.1176799997</v>
      </c>
      <c r="N112" s="221" t="s">
        <v>39</v>
      </c>
      <c r="O112" s="258">
        <f t="shared" si="27"/>
        <v>2512544.1176799997</v>
      </c>
      <c r="P112" s="258">
        <f t="shared" si="24"/>
        <v>1884408.0882599996</v>
      </c>
      <c r="Q112" s="258">
        <f t="shared" si="25"/>
        <v>3221995.3005599994</v>
      </c>
      <c r="R112" s="258">
        <f t="shared" si="26"/>
        <v>2721995.3005599994</v>
      </c>
      <c r="S112" s="258">
        <f t="shared" si="22"/>
        <v>2512544.1176799997</v>
      </c>
      <c r="T112" s="221"/>
      <c r="U112" s="278">
        <v>11</v>
      </c>
      <c r="V112" s="296" t="s">
        <v>291</v>
      </c>
      <c r="W112" s="219" t="s">
        <v>291</v>
      </c>
      <c r="X112" s="219" t="s">
        <v>291</v>
      </c>
      <c r="Z112" s="192" t="str">
        <f>C112&amp;A112</f>
        <v>11B1</v>
      </c>
      <c r="AA112" s="193">
        <v>11</v>
      </c>
      <c r="AB112" s="194">
        <v>10.44</v>
      </c>
      <c r="AC112" s="187"/>
      <c r="AE112" s="153"/>
      <c r="AF112" s="153"/>
    </row>
    <row r="113" spans="1:32" ht="15.75" customHeight="1" x14ac:dyDescent="0.25">
      <c r="A113" s="247" t="s">
        <v>97</v>
      </c>
      <c r="B113" s="221">
        <v>38</v>
      </c>
      <c r="C113" s="221">
        <v>12</v>
      </c>
      <c r="D113" s="221" t="s">
        <v>109</v>
      </c>
      <c r="E113" s="221">
        <v>1</v>
      </c>
      <c r="F113" s="221">
        <v>7</v>
      </c>
      <c r="G113" s="221">
        <v>153.84</v>
      </c>
      <c r="H113" s="158">
        <f t="shared" si="21"/>
        <v>300</v>
      </c>
      <c r="I113" s="221">
        <f t="shared" si="23"/>
        <v>153.84</v>
      </c>
      <c r="J113" s="221">
        <v>31.31</v>
      </c>
      <c r="K113" s="248">
        <f>AB113</f>
        <v>12.88</v>
      </c>
      <c r="L113" s="248">
        <v>1</v>
      </c>
      <c r="M113" s="258">
        <f>$K$6*(I113*$AK$12+IF(J113&gt;30,30*$AK$13+IF(J113&gt;60,30*$AK$14+IF(J113&gt;120,60*$AK$15,(J113-60)*$AK$15),(J113-30)*$AK$14),J113*$AK$13)+$AK$17*K113+L113*$AK$18)</f>
        <v>3060281.7781199999</v>
      </c>
      <c r="N113" s="221" t="s">
        <v>36</v>
      </c>
      <c r="O113" s="258">
        <f t="shared" si="27"/>
        <v>3060281.7781199999</v>
      </c>
      <c r="P113" s="258">
        <f t="shared" si="24"/>
        <v>2295211.3335899999</v>
      </c>
      <c r="Q113" s="258">
        <f t="shared" si="25"/>
        <v>3924394.1780400001</v>
      </c>
      <c r="R113" s="258">
        <f t="shared" si="26"/>
        <v>3424394.1780400001</v>
      </c>
      <c r="S113" s="258"/>
      <c r="T113" s="221"/>
      <c r="U113" s="278">
        <v>12</v>
      </c>
      <c r="V113" s="113"/>
      <c r="Z113" s="192" t="str">
        <f>C113&amp;A113</f>
        <v>12B1</v>
      </c>
      <c r="AA113" s="193">
        <v>12</v>
      </c>
      <c r="AB113" s="194">
        <v>12.88</v>
      </c>
      <c r="AC113" s="187"/>
      <c r="AE113" s="153"/>
      <c r="AF113" s="153"/>
    </row>
    <row r="114" spans="1:32" ht="15.75" customHeight="1" x14ac:dyDescent="0.25">
      <c r="A114" s="247" t="s">
        <v>97</v>
      </c>
      <c r="B114" s="221">
        <v>38</v>
      </c>
      <c r="C114" s="221">
        <v>13</v>
      </c>
      <c r="D114" s="221" t="s">
        <v>110</v>
      </c>
      <c r="E114" s="221">
        <v>1</v>
      </c>
      <c r="F114" s="221">
        <v>3</v>
      </c>
      <c r="G114" s="221">
        <v>80.53</v>
      </c>
      <c r="H114" s="158">
        <f t="shared" si="21"/>
        <v>90</v>
      </c>
      <c r="I114" s="221">
        <f t="shared" si="23"/>
        <v>80.53</v>
      </c>
      <c r="J114" s="221">
        <v>101.52</v>
      </c>
      <c r="K114" s="260">
        <f>AB114</f>
        <v>11.87</v>
      </c>
      <c r="L114" s="248">
        <v>1</v>
      </c>
      <c r="M114" s="258">
        <f>$K$6*(I114*$AK$12+IF(J114&gt;30,30*$AK$13+IF(J114&gt;60,30*$AK$14+IF(J114&gt;120,60*$AK$15,(J114-60)*$AK$15),(J114-30)*$AK$14),J114*$AK$13)+$AK$17*K114+L114*$AK$18)</f>
        <v>1906142.2722599998</v>
      </c>
      <c r="N114" s="221" t="s">
        <v>39</v>
      </c>
      <c r="O114" s="258">
        <f t="shared" si="27"/>
        <v>1906142.2722599998</v>
      </c>
      <c r="P114" s="258">
        <f t="shared" si="24"/>
        <v>1429606.7041949998</v>
      </c>
      <c r="Q114" s="258">
        <f t="shared" si="25"/>
        <v>2444367.6034199996</v>
      </c>
      <c r="R114" s="258">
        <f t="shared" si="26"/>
        <v>1944367.6034199996</v>
      </c>
      <c r="S114" s="258">
        <f t="shared" si="22"/>
        <v>1906142.2722599998</v>
      </c>
      <c r="T114" s="221"/>
      <c r="U114" s="278">
        <v>13</v>
      </c>
      <c r="V114" s="296" t="s">
        <v>291</v>
      </c>
      <c r="W114" s="219" t="s">
        <v>291</v>
      </c>
      <c r="X114" s="219" t="s">
        <v>291</v>
      </c>
      <c r="Z114" s="192" t="str">
        <f>C114&amp;A114</f>
        <v>13B1</v>
      </c>
      <c r="AA114" s="193">
        <v>13</v>
      </c>
      <c r="AB114" s="194">
        <v>11.87</v>
      </c>
      <c r="AC114" s="187"/>
      <c r="AE114" s="153"/>
      <c r="AF114" s="153"/>
    </row>
    <row r="115" spans="1:32" ht="15.75" customHeight="1" x14ac:dyDescent="0.25">
      <c r="A115" s="247" t="s">
        <v>97</v>
      </c>
      <c r="B115" s="221">
        <v>38</v>
      </c>
      <c r="C115" s="221">
        <v>14</v>
      </c>
      <c r="D115" s="221" t="s">
        <v>111</v>
      </c>
      <c r="E115" s="221">
        <v>1</v>
      </c>
      <c r="F115" s="221">
        <v>3</v>
      </c>
      <c r="G115" s="221">
        <v>80.39</v>
      </c>
      <c r="H115" s="158">
        <f t="shared" si="21"/>
        <v>90</v>
      </c>
      <c r="I115" s="221">
        <f t="shared" si="23"/>
        <v>80.39</v>
      </c>
      <c r="J115" s="221">
        <v>78.650000000000006</v>
      </c>
      <c r="K115" s="248">
        <f>AB115</f>
        <v>4.83</v>
      </c>
      <c r="L115" s="260">
        <v>1</v>
      </c>
      <c r="M115" s="258">
        <f>$K$6*(I115*$AK$12+IF(J115&gt;30,30*$AK$13+IF(J115&gt;60,30*$AK$14+IF(J115&gt;120,60*$AK$15,(J115-60)*$AK$15),(J115-30)*$AK$14),J115*$AK$13)+$AK$17*K115+L115*$AK$18)</f>
        <v>1823932.7212799999</v>
      </c>
      <c r="N115" s="221" t="s">
        <v>39</v>
      </c>
      <c r="O115" s="258">
        <f t="shared" si="27"/>
        <v>1823932.7212799999</v>
      </c>
      <c r="P115" s="258">
        <f t="shared" si="24"/>
        <v>1367949.5409599999</v>
      </c>
      <c r="Q115" s="258">
        <f t="shared" si="25"/>
        <v>2338945.0617599995</v>
      </c>
      <c r="R115" s="258">
        <f t="shared" si="26"/>
        <v>1838945.0617599995</v>
      </c>
      <c r="S115" s="258">
        <f t="shared" si="22"/>
        <v>1823932.7212799999</v>
      </c>
      <c r="T115" s="221"/>
      <c r="U115" s="278">
        <v>14</v>
      </c>
      <c r="V115" s="296" t="s">
        <v>291</v>
      </c>
      <c r="W115" s="219" t="s">
        <v>291</v>
      </c>
      <c r="X115" s="219" t="s">
        <v>291</v>
      </c>
      <c r="Z115" s="192" t="str">
        <f>C115&amp;A115</f>
        <v>14B1</v>
      </c>
      <c r="AA115" s="193">
        <v>14</v>
      </c>
      <c r="AB115" s="212">
        <v>4.83</v>
      </c>
      <c r="AC115" s="187"/>
      <c r="AE115" s="153"/>
      <c r="AF115" s="153"/>
    </row>
    <row r="116" spans="1:32" ht="15.75" customHeight="1" x14ac:dyDescent="0.25">
      <c r="A116" s="247" t="s">
        <v>97</v>
      </c>
      <c r="B116" s="221">
        <v>38</v>
      </c>
      <c r="C116" s="221">
        <v>15</v>
      </c>
      <c r="D116" s="221" t="s">
        <v>112</v>
      </c>
      <c r="E116" s="221">
        <v>2</v>
      </c>
      <c r="F116" s="221">
        <v>5</v>
      </c>
      <c r="G116" s="221">
        <v>124.33</v>
      </c>
      <c r="H116" s="158">
        <f t="shared" si="21"/>
        <v>125</v>
      </c>
      <c r="I116" s="221">
        <f t="shared" si="23"/>
        <v>124.33</v>
      </c>
      <c r="J116" s="221">
        <v>22.95</v>
      </c>
      <c r="K116" s="248">
        <f>AB116</f>
        <v>5.63</v>
      </c>
      <c r="L116" s="260">
        <v>1</v>
      </c>
      <c r="M116" s="258">
        <f>$K$6*(I116*$AK$12+IF(J116&gt;30,30*$AK$13+IF(J116&gt;60,30*$AK$14+IF(J116&gt;120,60*$AK$15,(J116-60)*$AK$15),(J116-30)*$AK$14),J116*$AK$13)+$AK$17*K116+L116*$AK$18)</f>
        <v>2443356.9652800001</v>
      </c>
      <c r="N116" s="221" t="s">
        <v>39</v>
      </c>
      <c r="O116" s="258">
        <f t="shared" si="27"/>
        <v>2443356.9652800001</v>
      </c>
      <c r="P116" s="258">
        <f t="shared" si="24"/>
        <v>1832517.7239600001</v>
      </c>
      <c r="Q116" s="258">
        <f t="shared" si="25"/>
        <v>3133272.2097599995</v>
      </c>
      <c r="R116" s="258">
        <f t="shared" si="26"/>
        <v>2633272.2097599995</v>
      </c>
      <c r="S116" s="258">
        <f t="shared" si="22"/>
        <v>2443356.9652800001</v>
      </c>
      <c r="T116" s="221"/>
      <c r="U116" s="278">
        <v>15</v>
      </c>
      <c r="V116" s="296" t="s">
        <v>291</v>
      </c>
      <c r="W116" s="219" t="s">
        <v>291</v>
      </c>
      <c r="X116" s="219" t="s">
        <v>291</v>
      </c>
      <c r="Z116" s="192" t="str">
        <f>C116&amp;A116</f>
        <v>15B1</v>
      </c>
      <c r="AA116" s="193">
        <v>15</v>
      </c>
      <c r="AB116" s="194">
        <v>5.63</v>
      </c>
      <c r="AC116" s="187"/>
      <c r="AE116" s="153"/>
      <c r="AF116" s="153"/>
    </row>
    <row r="117" spans="1:32" ht="15.75" customHeight="1" x14ac:dyDescent="0.25">
      <c r="A117" s="247" t="s">
        <v>97</v>
      </c>
      <c r="B117" s="221">
        <v>38</v>
      </c>
      <c r="C117" s="221">
        <v>16</v>
      </c>
      <c r="D117" s="221" t="s">
        <v>113</v>
      </c>
      <c r="E117" s="221">
        <v>2</v>
      </c>
      <c r="F117" s="221">
        <v>7</v>
      </c>
      <c r="G117" s="221">
        <v>153.84</v>
      </c>
      <c r="H117" s="158">
        <f t="shared" si="21"/>
        <v>300</v>
      </c>
      <c r="I117" s="221">
        <f t="shared" si="23"/>
        <v>153.84</v>
      </c>
      <c r="J117" s="221">
        <v>22.95</v>
      </c>
      <c r="K117" s="260">
        <f>AB121</f>
        <v>12.78</v>
      </c>
      <c r="L117" s="260">
        <v>1</v>
      </c>
      <c r="M117" s="258">
        <f>$K$6*(I117*$AK$12+IF(J117&gt;30,30*$AK$13+IF(J117&gt;60,30*$AK$14+IF(J117&gt;120,60*$AK$15,(J117-60)*$AK$15),(J117-30)*$AK$14),J117*$AK$13)+$AK$17*K117+L117*$AK$18)</f>
        <v>3016686.62738</v>
      </c>
      <c r="N117" s="221" t="s">
        <v>36</v>
      </c>
      <c r="O117" s="258">
        <f t="shared" si="27"/>
        <v>3016686.62738</v>
      </c>
      <c r="P117" s="258">
        <f t="shared" si="24"/>
        <v>2262514.9705349999</v>
      </c>
      <c r="Q117" s="258">
        <f t="shared" si="25"/>
        <v>3868489.3404599996</v>
      </c>
      <c r="R117" s="258">
        <f t="shared" si="26"/>
        <v>3368489.3404599996</v>
      </c>
      <c r="S117" s="258"/>
      <c r="T117" s="221"/>
      <c r="U117" s="278">
        <v>20</v>
      </c>
      <c r="V117" s="113"/>
      <c r="Z117" s="195" t="str">
        <f>C121&amp;A121</f>
        <v>20B1</v>
      </c>
      <c r="AA117" s="196">
        <v>16</v>
      </c>
      <c r="AB117" s="193">
        <v>5.63</v>
      </c>
      <c r="AC117" s="187"/>
      <c r="AE117" s="153"/>
      <c r="AF117" s="153"/>
    </row>
    <row r="118" spans="1:32" ht="15.75" customHeight="1" x14ac:dyDescent="0.25">
      <c r="A118" s="247" t="s">
        <v>97</v>
      </c>
      <c r="B118" s="221">
        <v>38</v>
      </c>
      <c r="C118" s="221">
        <v>17</v>
      </c>
      <c r="D118" s="221" t="s">
        <v>114</v>
      </c>
      <c r="E118" s="221">
        <v>2</v>
      </c>
      <c r="F118" s="221">
        <v>3</v>
      </c>
      <c r="G118" s="221">
        <v>80.53</v>
      </c>
      <c r="H118" s="158">
        <f t="shared" si="21"/>
        <v>90</v>
      </c>
      <c r="I118" s="221">
        <f t="shared" si="23"/>
        <v>80.53</v>
      </c>
      <c r="J118" s="221">
        <v>21.52</v>
      </c>
      <c r="K118" s="248">
        <f>AB118</f>
        <v>5.78</v>
      </c>
      <c r="L118" s="248">
        <v>1</v>
      </c>
      <c r="M118" s="258">
        <f>$K$6*(I118*$AK$12+IF(J118&gt;30,30*$AK$13+IF(J118&gt;60,30*$AK$14+IF(J118&gt;120,60*$AK$15,(J118-60)*$AK$15),(J118-30)*$AK$14),J118*$AK$13)+$AK$17*K118+L118*$AK$18)</f>
        <v>1643104.3103999998</v>
      </c>
      <c r="N118" s="221" t="s">
        <v>39</v>
      </c>
      <c r="O118" s="258">
        <f t="shared" si="27"/>
        <v>1643104.3103999998</v>
      </c>
      <c r="P118" s="258">
        <f t="shared" si="24"/>
        <v>1232328.2327999999</v>
      </c>
      <c r="Q118" s="258">
        <f t="shared" si="25"/>
        <v>2107057.2767999996</v>
      </c>
      <c r="R118" s="258">
        <f t="shared" si="26"/>
        <v>1607057.2767999996</v>
      </c>
      <c r="S118" s="258">
        <f t="shared" si="22"/>
        <v>1607057.2767999996</v>
      </c>
      <c r="T118" s="221"/>
      <c r="U118" s="278">
        <v>17</v>
      </c>
      <c r="V118" s="296" t="s">
        <v>291</v>
      </c>
      <c r="W118" s="219" t="s">
        <v>291</v>
      </c>
      <c r="X118" s="219" t="s">
        <v>291</v>
      </c>
      <c r="Z118" s="192" t="str">
        <f>C118&amp;A118</f>
        <v>17B1</v>
      </c>
      <c r="AA118" s="193">
        <v>17</v>
      </c>
      <c r="AB118" s="194">
        <v>5.78</v>
      </c>
      <c r="AC118" s="187"/>
      <c r="AE118" s="153"/>
      <c r="AF118" s="153"/>
    </row>
    <row r="119" spans="1:32" ht="15.75" customHeight="1" x14ac:dyDescent="0.25">
      <c r="A119" s="247" t="s">
        <v>97</v>
      </c>
      <c r="B119" s="221">
        <v>38</v>
      </c>
      <c r="C119" s="221">
        <v>18</v>
      </c>
      <c r="D119" s="221" t="s">
        <v>115</v>
      </c>
      <c r="E119" s="221">
        <v>2</v>
      </c>
      <c r="F119" s="221">
        <v>3</v>
      </c>
      <c r="G119" s="221">
        <v>80.39</v>
      </c>
      <c r="H119" s="158">
        <f t="shared" si="21"/>
        <v>90</v>
      </c>
      <c r="I119" s="221">
        <f t="shared" si="23"/>
        <v>80.39</v>
      </c>
      <c r="J119" s="221">
        <v>21.52</v>
      </c>
      <c r="K119" s="248">
        <f>AB119</f>
        <v>11</v>
      </c>
      <c r="L119" s="248">
        <v>1</v>
      </c>
      <c r="M119" s="258">
        <f>$K$6*(I119*$AK$12+IF(J119&gt;30,30*$AK$13+IF(J119&gt;60,30*$AK$14+IF(J119&gt;120,60*$AK$15,(J119-60)*$AK$15),(J119-30)*$AK$14),J119*$AK$13)+$AK$17*K119+L119*$AK$18)</f>
        <v>1668931.76572</v>
      </c>
      <c r="N119" s="221" t="s">
        <v>39</v>
      </c>
      <c r="O119" s="258">
        <f t="shared" si="27"/>
        <v>1668931.76572</v>
      </c>
      <c r="P119" s="258">
        <f t="shared" si="24"/>
        <v>1251698.8242899999</v>
      </c>
      <c r="Q119" s="258">
        <f t="shared" si="25"/>
        <v>2140177.4672399997</v>
      </c>
      <c r="R119" s="258">
        <f t="shared" si="26"/>
        <v>1640177.4672399997</v>
      </c>
      <c r="S119" s="258">
        <f t="shared" si="22"/>
        <v>1640177.4672399997</v>
      </c>
      <c r="T119" s="221"/>
      <c r="U119" s="278">
        <v>18</v>
      </c>
      <c r="V119" s="296" t="s">
        <v>291</v>
      </c>
      <c r="W119" s="219" t="s">
        <v>291</v>
      </c>
      <c r="X119" s="219" t="s">
        <v>291</v>
      </c>
      <c r="Z119" s="192" t="str">
        <f>C119&amp;A119</f>
        <v>18B1</v>
      </c>
      <c r="AA119" s="193">
        <v>18</v>
      </c>
      <c r="AB119" s="193">
        <v>11</v>
      </c>
      <c r="AC119" s="187"/>
      <c r="AE119" s="153"/>
      <c r="AF119" s="153"/>
    </row>
    <row r="120" spans="1:32" ht="15.75" customHeight="1" x14ac:dyDescent="0.25">
      <c r="A120" s="247" t="s">
        <v>97</v>
      </c>
      <c r="B120" s="221">
        <v>38</v>
      </c>
      <c r="C120" s="221">
        <v>19</v>
      </c>
      <c r="D120" s="221" t="s">
        <v>116</v>
      </c>
      <c r="E120" s="221">
        <v>3</v>
      </c>
      <c r="F120" s="221">
        <v>4</v>
      </c>
      <c r="G120" s="221">
        <v>107.89</v>
      </c>
      <c r="H120" s="158">
        <f t="shared" si="21"/>
        <v>110</v>
      </c>
      <c r="I120" s="221">
        <f t="shared" si="23"/>
        <v>107.89</v>
      </c>
      <c r="J120" s="221">
        <v>48.93</v>
      </c>
      <c r="K120" s="260">
        <f>AB120</f>
        <v>10.97</v>
      </c>
      <c r="L120" s="260">
        <v>1</v>
      </c>
      <c r="M120" s="258">
        <f>$K$6*(I120*$AK$12+IF(J120&gt;30,30*$AK$13+IF(J120&gt;60,30*$AK$14+IF(J120&gt;120,60*$AK$15,(J120-60)*$AK$15),(J120-30)*$AK$14),J120*$AK$13)+$AK$17*K120+L120*$AK$18)</f>
        <v>2281491.6299399999</v>
      </c>
      <c r="N120" s="221" t="s">
        <v>39</v>
      </c>
      <c r="O120" s="258">
        <f t="shared" si="27"/>
        <v>2281491.6299399999</v>
      </c>
      <c r="P120" s="258">
        <f t="shared" si="24"/>
        <v>1711118.722455</v>
      </c>
      <c r="Q120" s="258">
        <f t="shared" si="25"/>
        <v>2925701.98398</v>
      </c>
      <c r="R120" s="258">
        <f t="shared" si="26"/>
        <v>2425701.98398</v>
      </c>
      <c r="S120" s="258">
        <f t="shared" si="22"/>
        <v>2281491.6299399999</v>
      </c>
      <c r="T120" s="221"/>
      <c r="U120" s="278">
        <v>19</v>
      </c>
      <c r="V120" s="296" t="s">
        <v>291</v>
      </c>
      <c r="W120" s="219" t="s">
        <v>291</v>
      </c>
      <c r="X120" s="219" t="s">
        <v>291</v>
      </c>
      <c r="Z120" s="192" t="str">
        <f>C120&amp;A120</f>
        <v>19B1</v>
      </c>
      <c r="AA120" s="193">
        <v>19</v>
      </c>
      <c r="AB120" s="193">
        <v>10.97</v>
      </c>
      <c r="AC120" s="187"/>
      <c r="AE120" s="153"/>
      <c r="AF120" s="153"/>
    </row>
    <row r="121" spans="1:32" ht="15.75" customHeight="1" x14ac:dyDescent="0.25">
      <c r="A121" s="247" t="s">
        <v>97</v>
      </c>
      <c r="B121" s="221">
        <v>38</v>
      </c>
      <c r="C121" s="221">
        <v>20</v>
      </c>
      <c r="D121" s="221" t="s">
        <v>117</v>
      </c>
      <c r="E121" s="221">
        <v>3</v>
      </c>
      <c r="F121" s="221">
        <v>4</v>
      </c>
      <c r="G121" s="221">
        <v>108.04</v>
      </c>
      <c r="H121" s="158">
        <f t="shared" si="21"/>
        <v>110</v>
      </c>
      <c r="I121" s="221">
        <f t="shared" si="23"/>
        <v>108.04</v>
      </c>
      <c r="J121" s="221">
        <v>36.979999999999997</v>
      </c>
      <c r="K121" s="248">
        <f>AB117</f>
        <v>5.63</v>
      </c>
      <c r="L121" s="260">
        <v>1</v>
      </c>
      <c r="M121" s="258">
        <f>$K$6*(I121*$AK$12+IF(J121&gt;30,30*$AK$13+IF(J121&gt;60,30*$AK$14+IF(J121&gt;120,60*$AK$15,(J121-60)*$AK$15),(J121-30)*$AK$14),J121*$AK$13)+$AK$17*K121+L121*$AK$18)</f>
        <v>2211906.0175000001</v>
      </c>
      <c r="N121" s="221" t="s">
        <v>39</v>
      </c>
      <c r="O121" s="258">
        <f t="shared" si="27"/>
        <v>2211906.0175000001</v>
      </c>
      <c r="P121" s="258">
        <f t="shared" si="24"/>
        <v>1658929.5131250001</v>
      </c>
      <c r="Q121" s="258">
        <f t="shared" si="25"/>
        <v>2836467.9224999999</v>
      </c>
      <c r="R121" s="258">
        <f t="shared" si="26"/>
        <v>2336467.9224999999</v>
      </c>
      <c r="S121" s="258">
        <f t="shared" si="22"/>
        <v>2211906.0175000001</v>
      </c>
      <c r="T121" s="221"/>
      <c r="U121" s="278">
        <v>16</v>
      </c>
      <c r="V121" s="296" t="s">
        <v>291</v>
      </c>
      <c r="W121" s="219" t="s">
        <v>291</v>
      </c>
      <c r="X121" s="219" t="s">
        <v>291</v>
      </c>
      <c r="Z121" s="195" t="str">
        <f>C117&amp;A117</f>
        <v>16B1</v>
      </c>
      <c r="AA121" s="196">
        <v>20</v>
      </c>
      <c r="AB121" s="193">
        <v>12.78</v>
      </c>
      <c r="AC121" s="187"/>
      <c r="AE121" s="153"/>
      <c r="AF121" s="153"/>
    </row>
    <row r="122" spans="1:32" ht="15.75" customHeight="1" x14ac:dyDescent="0.25">
      <c r="A122" s="247" t="s">
        <v>97</v>
      </c>
      <c r="B122" s="221">
        <v>38</v>
      </c>
      <c r="C122" s="221">
        <v>21</v>
      </c>
      <c r="D122" s="221" t="s">
        <v>118</v>
      </c>
      <c r="E122" s="221">
        <v>3</v>
      </c>
      <c r="F122" s="221">
        <v>3</v>
      </c>
      <c r="G122" s="221">
        <v>80.53</v>
      </c>
      <c r="H122" s="158">
        <f t="shared" si="21"/>
        <v>90</v>
      </c>
      <c r="I122" s="221">
        <f t="shared" si="23"/>
        <v>80.53</v>
      </c>
      <c r="J122" s="221">
        <v>21.66</v>
      </c>
      <c r="K122" s="248">
        <f>AB122</f>
        <v>12.56</v>
      </c>
      <c r="L122" s="260">
        <v>1</v>
      </c>
      <c r="M122" s="258">
        <f>$K$6*(I122*$AK$12+IF(J122&gt;30,30*$AK$13+IF(J122&gt;60,30*$AK$14+IF(J122&gt;120,60*$AK$15,(J122-60)*$AK$15),(J122-30)*$AK$14),J122*$AK$13)+$AK$17*K122+L122*$AK$18)</f>
        <v>1680704.44872</v>
      </c>
      <c r="N122" s="221" t="s">
        <v>39</v>
      </c>
      <c r="O122" s="258">
        <f t="shared" si="27"/>
        <v>1680704.44872</v>
      </c>
      <c r="P122" s="258">
        <f t="shared" si="24"/>
        <v>1260528.33654</v>
      </c>
      <c r="Q122" s="258">
        <f t="shared" si="25"/>
        <v>2155274.3282400002</v>
      </c>
      <c r="R122" s="258">
        <f t="shared" si="26"/>
        <v>1655274.3282400002</v>
      </c>
      <c r="S122" s="258">
        <f t="shared" si="22"/>
        <v>1655274.3282400002</v>
      </c>
      <c r="T122" s="221"/>
      <c r="U122" s="278">
        <v>21</v>
      </c>
      <c r="V122" s="296" t="s">
        <v>291</v>
      </c>
      <c r="W122" s="219" t="s">
        <v>291</v>
      </c>
      <c r="X122" s="219" t="s">
        <v>291</v>
      </c>
      <c r="Z122" s="192" t="str">
        <f>C122&amp;A122</f>
        <v>21B1</v>
      </c>
      <c r="AA122" s="193">
        <v>21</v>
      </c>
      <c r="AB122" s="193">
        <v>12.56</v>
      </c>
      <c r="AC122" s="187"/>
      <c r="AE122" s="153"/>
      <c r="AF122" s="153"/>
    </row>
    <row r="123" spans="1:32" ht="15.75" customHeight="1" x14ac:dyDescent="0.25">
      <c r="A123" s="247" t="s">
        <v>97</v>
      </c>
      <c r="B123" s="221">
        <v>38</v>
      </c>
      <c r="C123" s="221">
        <v>22</v>
      </c>
      <c r="D123" s="221" t="s">
        <v>119</v>
      </c>
      <c r="E123" s="221">
        <v>3</v>
      </c>
      <c r="F123" s="221">
        <v>3</v>
      </c>
      <c r="G123" s="221">
        <v>80.39</v>
      </c>
      <c r="H123" s="158">
        <f t="shared" si="21"/>
        <v>90</v>
      </c>
      <c r="I123" s="221">
        <f t="shared" si="23"/>
        <v>80.39</v>
      </c>
      <c r="J123" s="221">
        <v>21.66</v>
      </c>
      <c r="K123" s="248">
        <f>AB123</f>
        <v>7.48</v>
      </c>
      <c r="L123" s="248">
        <v>1</v>
      </c>
      <c r="M123" s="258">
        <f>$K$6*(I123*$AK$12+IF(J123&gt;30,30*$AK$13+IF(J123&gt;60,30*$AK$14+IF(J123&gt;120,60*$AK$15,(J123-60)*$AK$15),(J123-30)*$AK$14),J123*$AK$13)+$AK$17*K123+L123*$AK$18)</f>
        <v>1650566.3802400001</v>
      </c>
      <c r="N123" s="221" t="s">
        <v>39</v>
      </c>
      <c r="O123" s="258">
        <f t="shared" si="27"/>
        <v>1650566.3802400001</v>
      </c>
      <c r="P123" s="258">
        <f t="shared" si="24"/>
        <v>1237924.7851800001</v>
      </c>
      <c r="Q123" s="258">
        <f t="shared" si="25"/>
        <v>2116626.3640800002</v>
      </c>
      <c r="R123" s="258">
        <f t="shared" si="26"/>
        <v>1616626.3640800002</v>
      </c>
      <c r="S123" s="258">
        <f t="shared" si="22"/>
        <v>1616626.3640800002</v>
      </c>
      <c r="T123" s="221"/>
      <c r="U123" s="278">
        <v>22</v>
      </c>
      <c r="V123" s="296" t="s">
        <v>291</v>
      </c>
      <c r="W123" s="219" t="s">
        <v>291</v>
      </c>
      <c r="X123" s="219" t="s">
        <v>291</v>
      </c>
      <c r="Z123" s="192" t="str">
        <f>C123&amp;A123</f>
        <v>22B1</v>
      </c>
      <c r="AA123" s="193">
        <v>22</v>
      </c>
      <c r="AB123" s="193">
        <v>7.48</v>
      </c>
      <c r="AC123" s="187"/>
      <c r="AE123" s="153"/>
      <c r="AF123" s="153"/>
    </row>
    <row r="124" spans="1:32" ht="15.75" customHeight="1" x14ac:dyDescent="0.25">
      <c r="A124" s="247" t="s">
        <v>97</v>
      </c>
      <c r="B124" s="221">
        <v>38</v>
      </c>
      <c r="C124" s="221">
        <v>23</v>
      </c>
      <c r="D124" s="221" t="s">
        <v>120</v>
      </c>
      <c r="E124" s="221">
        <v>4</v>
      </c>
      <c r="F124" s="221">
        <v>4</v>
      </c>
      <c r="G124" s="221">
        <v>107.89</v>
      </c>
      <c r="H124" s="158">
        <f t="shared" si="21"/>
        <v>110</v>
      </c>
      <c r="I124" s="221">
        <f t="shared" si="23"/>
        <v>107.89</v>
      </c>
      <c r="J124" s="221">
        <v>8.4600000000000009</v>
      </c>
      <c r="K124" s="260">
        <f>AB124</f>
        <v>6.89</v>
      </c>
      <c r="L124" s="248">
        <v>1</v>
      </c>
      <c r="M124" s="258">
        <f>$K$6*(I124*$AK$12+IF(J124&gt;30,30*$AK$13+IF(J124&gt;60,30*$AK$14+IF(J124&gt;120,60*$AK$15,(J124-60)*$AK$15),(J124-30)*$AK$14),J124*$AK$13)+$AK$17*K124+L124*$AK$18)</f>
        <v>2073712.8308999997</v>
      </c>
      <c r="N124" s="221" t="s">
        <v>39</v>
      </c>
      <c r="O124" s="258">
        <f t="shared" si="27"/>
        <v>2073712.8308999997</v>
      </c>
      <c r="P124" s="258">
        <f t="shared" si="24"/>
        <v>1555284.6231749998</v>
      </c>
      <c r="Q124" s="258">
        <f t="shared" si="25"/>
        <v>2659254.0002999995</v>
      </c>
      <c r="R124" s="258">
        <f t="shared" si="26"/>
        <v>2159254.0002999995</v>
      </c>
      <c r="S124" s="258">
        <f t="shared" si="22"/>
        <v>2073712.8308999997</v>
      </c>
      <c r="T124" s="221"/>
      <c r="U124" s="278">
        <v>23</v>
      </c>
      <c r="V124" s="296" t="s">
        <v>291</v>
      </c>
      <c r="W124" s="219" t="s">
        <v>291</v>
      </c>
      <c r="X124" s="219" t="s">
        <v>291</v>
      </c>
      <c r="Z124" s="192" t="str">
        <f>C124&amp;A124</f>
        <v>23B1</v>
      </c>
      <c r="AA124" s="193">
        <v>23</v>
      </c>
      <c r="AB124" s="212">
        <v>6.89</v>
      </c>
      <c r="AC124" s="187"/>
      <c r="AE124" s="153"/>
      <c r="AF124" s="153"/>
    </row>
    <row r="125" spans="1:32" ht="15.75" customHeight="1" x14ac:dyDescent="0.25">
      <c r="A125" s="247" t="s">
        <v>97</v>
      </c>
      <c r="B125" s="221">
        <v>38</v>
      </c>
      <c r="C125" s="221">
        <v>24</v>
      </c>
      <c r="D125" s="221" t="s">
        <v>121</v>
      </c>
      <c r="E125" s="221">
        <v>4</v>
      </c>
      <c r="F125" s="221">
        <v>4</v>
      </c>
      <c r="G125" s="221">
        <v>108.04</v>
      </c>
      <c r="H125" s="158">
        <f t="shared" si="21"/>
        <v>110</v>
      </c>
      <c r="I125" s="221">
        <f t="shared" si="23"/>
        <v>108.04</v>
      </c>
      <c r="J125" s="221">
        <v>8.4600000000000009</v>
      </c>
      <c r="K125" s="248">
        <f>AB125</f>
        <v>9.52</v>
      </c>
      <c r="L125" s="260">
        <v>1</v>
      </c>
      <c r="M125" s="258">
        <f>$K$6*(I125*$AK$12+IF(J125&gt;30,30*$AK$13+IF(J125&gt;60,30*$AK$14+IF(J125&gt;120,60*$AK$15,(J125-60)*$AK$15),(J125-30)*$AK$14),J125*$AK$13)+$AK$17*K125+L125*$AK$18)</f>
        <v>2090719.8298799999</v>
      </c>
      <c r="N125" s="221" t="s">
        <v>39</v>
      </c>
      <c r="O125" s="258">
        <f t="shared" si="27"/>
        <v>2090719.8298799999</v>
      </c>
      <c r="P125" s="258">
        <f t="shared" si="24"/>
        <v>1568039.8724099998</v>
      </c>
      <c r="Q125" s="258">
        <f t="shared" si="25"/>
        <v>2681063.15796</v>
      </c>
      <c r="R125" s="258">
        <f t="shared" si="26"/>
        <v>2181063.15796</v>
      </c>
      <c r="S125" s="258">
        <f t="shared" si="22"/>
        <v>2090719.8298799999</v>
      </c>
      <c r="T125" s="221"/>
      <c r="U125" s="278">
        <v>24</v>
      </c>
      <c r="V125" s="297" t="s">
        <v>291</v>
      </c>
      <c r="W125" s="220" t="s">
        <v>291</v>
      </c>
      <c r="X125" s="219" t="s">
        <v>291</v>
      </c>
      <c r="Z125" s="192" t="str">
        <f>C125&amp;A125</f>
        <v>24B1</v>
      </c>
      <c r="AA125" s="193">
        <v>24</v>
      </c>
      <c r="AB125" s="212">
        <v>9.52</v>
      </c>
      <c r="AC125" s="187"/>
      <c r="AE125" s="153"/>
      <c r="AF125" s="153"/>
    </row>
    <row r="126" spans="1:32" ht="15.75" customHeight="1" x14ac:dyDescent="0.25">
      <c r="A126" s="247" t="s">
        <v>97</v>
      </c>
      <c r="B126" s="221">
        <v>38</v>
      </c>
      <c r="C126" s="221">
        <v>25</v>
      </c>
      <c r="D126" s="221" t="s">
        <v>122</v>
      </c>
      <c r="E126" s="221">
        <v>4</v>
      </c>
      <c r="F126" s="221">
        <v>3</v>
      </c>
      <c r="G126" s="221">
        <v>80.53</v>
      </c>
      <c r="H126" s="158">
        <f t="shared" si="21"/>
        <v>90</v>
      </c>
      <c r="I126" s="221">
        <f t="shared" si="23"/>
        <v>80.53</v>
      </c>
      <c r="J126" s="221">
        <v>14.39</v>
      </c>
      <c r="K126" s="248">
        <f>AB126</f>
        <v>11.08</v>
      </c>
      <c r="L126" s="260">
        <v>1</v>
      </c>
      <c r="M126" s="258">
        <f>$K$6*(I126*$AK$12+IF(J126&gt;30,30*$AK$13+IF(J126&gt;60,30*$AK$14+IF(J126&gt;120,60*$AK$15,(J126-60)*$AK$15),(J126-30)*$AK$14),J126*$AK$13)+$AK$17*K126+L126*$AK$18)</f>
        <v>1633160.9212200001</v>
      </c>
      <c r="N126" s="221" t="s">
        <v>39</v>
      </c>
      <c r="O126" s="258">
        <f t="shared" si="27"/>
        <v>1633160.9212200001</v>
      </c>
      <c r="P126" s="258">
        <f t="shared" si="24"/>
        <v>1224870.6909150002</v>
      </c>
      <c r="Q126" s="258">
        <f t="shared" si="25"/>
        <v>2094306.2357399999</v>
      </c>
      <c r="R126" s="258">
        <f t="shared" si="26"/>
        <v>1594306.2357399999</v>
      </c>
      <c r="S126" s="258">
        <f t="shared" si="22"/>
        <v>1594306.2357399999</v>
      </c>
      <c r="T126" s="221"/>
      <c r="U126" s="278">
        <v>25</v>
      </c>
      <c r="V126" s="296" t="s">
        <v>291</v>
      </c>
      <c r="W126" s="219" t="s">
        <v>291</v>
      </c>
      <c r="X126" s="219" t="s">
        <v>291</v>
      </c>
      <c r="Z126" s="192" t="str">
        <f>C126&amp;A126</f>
        <v>25B1</v>
      </c>
      <c r="AA126" s="193">
        <v>25</v>
      </c>
      <c r="AB126" s="212">
        <v>11.08</v>
      </c>
      <c r="AC126" s="187"/>
      <c r="AE126" s="153"/>
      <c r="AF126" s="153"/>
    </row>
    <row r="127" spans="1:32" ht="15.75" customHeight="1" x14ac:dyDescent="0.25">
      <c r="A127" s="247" t="s">
        <v>97</v>
      </c>
      <c r="B127" s="221">
        <v>38</v>
      </c>
      <c r="C127" s="221">
        <v>26</v>
      </c>
      <c r="D127" s="221" t="s">
        <v>123</v>
      </c>
      <c r="E127" s="221">
        <v>4</v>
      </c>
      <c r="F127" s="221">
        <v>3</v>
      </c>
      <c r="G127" s="221">
        <v>80.39</v>
      </c>
      <c r="H127" s="158">
        <f t="shared" si="21"/>
        <v>90</v>
      </c>
      <c r="I127" s="221">
        <f t="shared" si="23"/>
        <v>80.39</v>
      </c>
      <c r="J127" s="221">
        <v>14.39</v>
      </c>
      <c r="K127" s="260">
        <f>AB127</f>
        <v>9.23</v>
      </c>
      <c r="L127" s="260">
        <v>1</v>
      </c>
      <c r="M127" s="258">
        <f>$K$6*(I127*$AK$12+IF(J127&gt;30,30*$AK$13+IF(J127&gt;60,30*$AK$14+IF(J127&gt;120,60*$AK$15,(J127-60)*$AK$15),(J127-30)*$AK$14),J127*$AK$13)+$AK$17*K127+L127*$AK$18)</f>
        <v>1620573.2063199999</v>
      </c>
      <c r="N127" s="221" t="s">
        <v>39</v>
      </c>
      <c r="O127" s="258">
        <f t="shared" si="27"/>
        <v>1620573.2063199999</v>
      </c>
      <c r="P127" s="258">
        <f t="shared" si="24"/>
        <v>1215429.9047399999</v>
      </c>
      <c r="Q127" s="258">
        <f t="shared" si="25"/>
        <v>2078164.2074399998</v>
      </c>
      <c r="R127" s="258">
        <f t="shared" si="26"/>
        <v>1578164.2074399998</v>
      </c>
      <c r="S127" s="258">
        <f t="shared" si="22"/>
        <v>1578164.2074399998</v>
      </c>
      <c r="T127" s="221"/>
      <c r="U127" s="278">
        <v>26</v>
      </c>
      <c r="V127" s="296" t="s">
        <v>291</v>
      </c>
      <c r="W127" s="219" t="s">
        <v>291</v>
      </c>
      <c r="X127" s="219" t="s">
        <v>291</v>
      </c>
      <c r="Z127" s="192" t="str">
        <f>C127&amp;A127</f>
        <v>26B1</v>
      </c>
      <c r="AA127" s="193">
        <v>26</v>
      </c>
      <c r="AB127" s="212">
        <v>9.23</v>
      </c>
      <c r="AC127" s="187"/>
      <c r="AE127" s="153"/>
      <c r="AF127" s="153"/>
    </row>
    <row r="128" spans="1:32" ht="15.75" customHeight="1" x14ac:dyDescent="0.25">
      <c r="A128" s="247" t="s">
        <v>97</v>
      </c>
      <c r="B128" s="221">
        <v>38</v>
      </c>
      <c r="C128" s="221">
        <v>27</v>
      </c>
      <c r="D128" s="221" t="s">
        <v>124</v>
      </c>
      <c r="E128" s="221">
        <v>5</v>
      </c>
      <c r="F128" s="221">
        <v>6</v>
      </c>
      <c r="G128" s="221">
        <v>153.96</v>
      </c>
      <c r="H128" s="158">
        <f t="shared" si="21"/>
        <v>145</v>
      </c>
      <c r="I128" s="221">
        <f t="shared" si="23"/>
        <v>152.61600000000001</v>
      </c>
      <c r="J128" s="221">
        <v>66.459999999999994</v>
      </c>
      <c r="K128" s="248">
        <f>AB128</f>
        <v>9.19</v>
      </c>
      <c r="L128" s="248">
        <v>1</v>
      </c>
      <c r="M128" s="258">
        <f>$K$6*(I128*$AK$12+IF(J128&gt;30,30*$AK$13+IF(J128&gt;60,30*$AK$14+IF(J128&gt;120,60*$AK$15,(J128-60)*$AK$15),(J128-30)*$AK$14),J128*$AK$13)+$AK$17*K128+L128*$AK$18)</f>
        <v>3133688.9845799999</v>
      </c>
      <c r="N128" s="221" t="s">
        <v>36</v>
      </c>
      <c r="O128" s="258">
        <f t="shared" si="27"/>
        <v>3133688.9845799999</v>
      </c>
      <c r="P128" s="258">
        <f t="shared" si="24"/>
        <v>2350266.7384350002</v>
      </c>
      <c r="Q128" s="258">
        <f t="shared" si="25"/>
        <v>4018528.91286</v>
      </c>
      <c r="R128" s="258">
        <f t="shared" si="26"/>
        <v>3518528.91286</v>
      </c>
      <c r="S128" s="258"/>
      <c r="T128" s="221"/>
      <c r="U128" s="278">
        <v>27</v>
      </c>
      <c r="V128" s="113"/>
      <c r="Z128" s="192" t="str">
        <f>C128&amp;A128</f>
        <v>27B1</v>
      </c>
      <c r="AA128" s="193">
        <v>27</v>
      </c>
      <c r="AB128" s="212">
        <v>9.19</v>
      </c>
      <c r="AC128" s="187"/>
      <c r="AE128" s="153"/>
      <c r="AF128" s="153"/>
    </row>
    <row r="129" spans="1:33" ht="15.75" customHeight="1" thickBot="1" x14ac:dyDescent="0.3">
      <c r="A129" s="250" t="s">
        <v>97</v>
      </c>
      <c r="B129" s="251">
        <v>38</v>
      </c>
      <c r="C129" s="251">
        <v>28</v>
      </c>
      <c r="D129" s="251" t="s">
        <v>125</v>
      </c>
      <c r="E129" s="251">
        <v>5</v>
      </c>
      <c r="F129" s="251">
        <v>5</v>
      </c>
      <c r="G129" s="251">
        <v>135.4</v>
      </c>
      <c r="H129" s="141">
        <f t="shared" si="21"/>
        <v>125</v>
      </c>
      <c r="I129" s="251">
        <f t="shared" si="23"/>
        <v>133.84</v>
      </c>
      <c r="J129" s="251">
        <v>57.2</v>
      </c>
      <c r="K129" s="252">
        <f>AB129</f>
        <v>10.06</v>
      </c>
      <c r="L129" s="252">
        <v>1</v>
      </c>
      <c r="M129" s="261">
        <f>$K$6*(I129*$AK$12+IF(J129&gt;30,30*$AK$13+IF(J129&gt;60,30*$AK$14+IF(J129&gt;120,60*$AK$15,(J129-60)*$AK$15),(J129-30)*$AK$14),J129*$AK$13)+$AK$17*K129+L129*$AK$18)</f>
        <v>2776505.7823600001</v>
      </c>
      <c r="N129" s="221" t="s">
        <v>39</v>
      </c>
      <c r="O129" s="261">
        <f t="shared" si="27"/>
        <v>2776505.7823600001</v>
      </c>
      <c r="P129" s="261">
        <f t="shared" si="24"/>
        <v>2082379.3367699999</v>
      </c>
      <c r="Q129" s="261">
        <f t="shared" si="25"/>
        <v>3560490.1501199999</v>
      </c>
      <c r="R129" s="261">
        <f t="shared" si="26"/>
        <v>3060490.1501199999</v>
      </c>
      <c r="S129" s="261">
        <f t="shared" si="22"/>
        <v>2776505.7823600001</v>
      </c>
      <c r="T129" s="251"/>
      <c r="U129" s="279">
        <v>28</v>
      </c>
      <c r="V129" s="296" t="s">
        <v>291</v>
      </c>
      <c r="W129" s="219" t="s">
        <v>291</v>
      </c>
      <c r="X129" s="219" t="s">
        <v>291</v>
      </c>
      <c r="Z129" s="197" t="str">
        <f>C129&amp;A129</f>
        <v>28B1</v>
      </c>
      <c r="AA129" s="198">
        <v>28</v>
      </c>
      <c r="AB129" s="198">
        <v>10.06</v>
      </c>
      <c r="AC129" s="188"/>
      <c r="AE129" s="153"/>
      <c r="AF129" s="153"/>
    </row>
    <row r="130" spans="1:33" ht="15.75" customHeight="1" thickBot="1" x14ac:dyDescent="0.3">
      <c r="A130" s="231" t="s">
        <v>65</v>
      </c>
      <c r="B130" s="319"/>
      <c r="C130" s="319"/>
      <c r="D130" s="319"/>
      <c r="E130" s="319"/>
      <c r="F130" s="319"/>
      <c r="G130" s="154">
        <f>SUMIF(N102:N129,"כן",G102:G129)/COUNT(C102:C129)</f>
        <v>81.088214285714301</v>
      </c>
      <c r="H130" s="154"/>
      <c r="I130" s="154"/>
      <c r="J130" s="155"/>
      <c r="K130" s="227" t="s">
        <v>66</v>
      </c>
      <c r="L130" s="227"/>
      <c r="M130" s="227"/>
      <c r="N130" s="156">
        <f>COUNTIF(N102:N129,"כן")/COUNT(C102:C129)</f>
        <v>0.75</v>
      </c>
      <c r="O130" s="156"/>
      <c r="P130" s="156"/>
      <c r="Q130" s="156"/>
      <c r="R130" s="156"/>
      <c r="S130" s="156"/>
      <c r="T130" s="157"/>
      <c r="U130" s="299"/>
      <c r="V130" s="113"/>
      <c r="AE130" s="153"/>
      <c r="AF130" s="153"/>
    </row>
    <row r="131" spans="1:33" ht="16.5" customHeight="1" x14ac:dyDescent="0.25">
      <c r="A131" s="243" t="s">
        <v>126</v>
      </c>
      <c r="B131" s="244">
        <v>38</v>
      </c>
      <c r="C131" s="244">
        <v>1</v>
      </c>
      <c r="D131" s="244" t="s">
        <v>127</v>
      </c>
      <c r="E131" s="244" t="s">
        <v>83</v>
      </c>
      <c r="F131" s="244">
        <v>6</v>
      </c>
      <c r="G131" s="244">
        <v>163.69</v>
      </c>
      <c r="H131" s="162">
        <f t="shared" si="21"/>
        <v>145</v>
      </c>
      <c r="I131" s="244">
        <f t="shared" ref="I131:I158" si="28">IF(G131&gt;H131,(G131-H131)*$AL$12+H131,G131)</f>
        <v>160.88650000000001</v>
      </c>
      <c r="J131" s="244">
        <v>172.8</v>
      </c>
      <c r="K131" s="269">
        <f>AB131</f>
        <v>14.09</v>
      </c>
      <c r="L131" s="276">
        <v>1</v>
      </c>
      <c r="M131" s="256">
        <f>$K$6*(I131*$AK$12+IF(J131&gt;30,30*$AK$13+IF(J131&gt;60,30*$AK$14+IF(J131&gt;120,60*$AK$15,(J131-60)*$AK$15),(J131-30)*$AK$14),J131*$AK$13)+$AK$17*K131+L131*$AK$18)</f>
        <v>3407077.8515700004</v>
      </c>
      <c r="N131" s="244" t="s">
        <v>36</v>
      </c>
      <c r="O131" s="256">
        <f>M131</f>
        <v>3407077.8515700004</v>
      </c>
      <c r="P131" s="256">
        <f t="shared" ref="P131:P158" si="29">O131*(1-$AK$19)</f>
        <v>2555308.3886775002</v>
      </c>
      <c r="Q131" s="256">
        <f t="shared" ref="Q131:Q158" si="30">$AK$22*(I131*$AK$12+IF(J131&gt;30,30*$AK$13+IF(J131&gt;60,30*$AK$14+IF(J131&gt;120,60*$AK$15,(J131-60)*$AK$15),(J131-30)*$AK$14),J131*$AK$13)+$AK$17*K131+L131*$AK$18)</f>
        <v>4369112.8641900001</v>
      </c>
      <c r="R131" s="256">
        <f t="shared" ref="R131:R158" si="31">Q131-$AK$20</f>
        <v>3869112.8641900001</v>
      </c>
      <c r="S131" s="256"/>
      <c r="T131" s="244"/>
      <c r="U131" s="263">
        <v>1</v>
      </c>
      <c r="V131" s="113"/>
      <c r="Z131" s="76" t="str">
        <f>C131&amp;A131</f>
        <v>1B2</v>
      </c>
      <c r="AA131" s="77">
        <v>1</v>
      </c>
      <c r="AB131" s="78">
        <v>14.09</v>
      </c>
      <c r="AC131" s="79"/>
      <c r="AE131" s="153"/>
      <c r="AF131" s="153"/>
      <c r="AG131" s="153"/>
    </row>
    <row r="132" spans="1:33" ht="16.5" customHeight="1" x14ac:dyDescent="0.25">
      <c r="A132" s="247" t="s">
        <v>126</v>
      </c>
      <c r="B132" s="221">
        <v>38</v>
      </c>
      <c r="C132" s="221">
        <v>2</v>
      </c>
      <c r="D132" s="221" t="s">
        <v>128</v>
      </c>
      <c r="E132" s="221" t="s">
        <v>83</v>
      </c>
      <c r="F132" s="221">
        <v>6</v>
      </c>
      <c r="G132" s="221">
        <v>161.47999999999999</v>
      </c>
      <c r="H132" s="158">
        <f t="shared" si="21"/>
        <v>145</v>
      </c>
      <c r="I132" s="221">
        <f t="shared" si="28"/>
        <v>159.00799999999998</v>
      </c>
      <c r="J132" s="221">
        <v>293.89999999999998</v>
      </c>
      <c r="K132" s="271">
        <f>AB132</f>
        <v>14.09</v>
      </c>
      <c r="L132" s="248">
        <v>1</v>
      </c>
      <c r="M132" s="258">
        <f>$K$6*(I132*$AK$12+IF(J132&gt;30,30*$AK$13+IF(J132&gt;60,30*$AK$14+IF(J132&gt;120,60*$AK$15,(J132-60)*$AK$15),(J132-30)*$AK$14),J132*$AK$13)+$AK$17*K132+L132*$AK$18)</f>
        <v>3373054.7976999995</v>
      </c>
      <c r="N132" s="221" t="s">
        <v>36</v>
      </c>
      <c r="O132" s="258">
        <f t="shared" ref="O132:O158" si="32">M132</f>
        <v>3373054.7976999995</v>
      </c>
      <c r="P132" s="258">
        <f t="shared" si="29"/>
        <v>2529791.0982749998</v>
      </c>
      <c r="Q132" s="258">
        <f t="shared" si="30"/>
        <v>4325482.935899999</v>
      </c>
      <c r="R132" s="258">
        <f t="shared" si="31"/>
        <v>3825482.935899999</v>
      </c>
      <c r="S132" s="258"/>
      <c r="T132" s="221"/>
      <c r="U132" s="264">
        <v>2</v>
      </c>
      <c r="V132" s="113"/>
      <c r="Z132" s="80" t="str">
        <f>C132&amp;A132</f>
        <v>2B2</v>
      </c>
      <c r="AA132" s="81">
        <v>2</v>
      </c>
      <c r="AB132" s="82">
        <v>14.09</v>
      </c>
      <c r="AC132" s="83"/>
      <c r="AE132" s="153"/>
      <c r="AF132" s="153"/>
    </row>
    <row r="133" spans="1:33" ht="16.5" customHeight="1" x14ac:dyDescent="0.25">
      <c r="A133" s="247" t="s">
        <v>126</v>
      </c>
      <c r="B133" s="221">
        <v>38</v>
      </c>
      <c r="C133" s="221">
        <v>3</v>
      </c>
      <c r="D133" s="221" t="s">
        <v>100</v>
      </c>
      <c r="E133" s="221">
        <v>-3</v>
      </c>
      <c r="F133" s="221">
        <v>5</v>
      </c>
      <c r="G133" s="221">
        <v>123.96</v>
      </c>
      <c r="H133" s="158">
        <f t="shared" si="21"/>
        <v>125</v>
      </c>
      <c r="I133" s="221">
        <f t="shared" si="28"/>
        <v>123.96</v>
      </c>
      <c r="J133" s="221">
        <v>24.3</v>
      </c>
      <c r="K133" s="248">
        <f>AB133</f>
        <v>10.44</v>
      </c>
      <c r="L133" s="248">
        <v>1</v>
      </c>
      <c r="M133" s="258">
        <f>$K$6*(I133*$AK$12+IF(J133&gt;30,30*$AK$13+IF(J133&gt;60,30*$AK$14+IF(J133&gt;120,60*$AK$15,(J133-60)*$AK$15),(J133-30)*$AK$14),J133*$AK$13)+$AK$17*K133+L133*$AK$18)</f>
        <v>2470126.2352399998</v>
      </c>
      <c r="N133" s="221" t="s">
        <v>39</v>
      </c>
      <c r="O133" s="258">
        <f t="shared" si="32"/>
        <v>2470126.2352399998</v>
      </c>
      <c r="P133" s="258">
        <f t="shared" si="29"/>
        <v>1852594.67643</v>
      </c>
      <c r="Q133" s="258">
        <f t="shared" si="30"/>
        <v>3167600.1490799999</v>
      </c>
      <c r="R133" s="258">
        <f t="shared" si="31"/>
        <v>2667600.1490799999</v>
      </c>
      <c r="S133" s="258">
        <f t="shared" si="22"/>
        <v>2470126.2352399998</v>
      </c>
      <c r="T133" s="221"/>
      <c r="U133" s="259">
        <v>3</v>
      </c>
      <c r="V133" s="296" t="s">
        <v>291</v>
      </c>
      <c r="W133" s="219" t="s">
        <v>291</v>
      </c>
      <c r="X133" s="219" t="s">
        <v>291</v>
      </c>
      <c r="Z133" s="80" t="str">
        <f>C133&amp;A133</f>
        <v>3B2</v>
      </c>
      <c r="AA133" s="81">
        <v>3</v>
      </c>
      <c r="AB133" s="82">
        <v>10.44</v>
      </c>
      <c r="AC133" s="84"/>
      <c r="AE133" s="153"/>
      <c r="AF133" s="153"/>
    </row>
    <row r="134" spans="1:33" ht="16.5" customHeight="1" x14ac:dyDescent="0.25">
      <c r="A134" s="247" t="s">
        <v>126</v>
      </c>
      <c r="B134" s="221">
        <v>38</v>
      </c>
      <c r="C134" s="221">
        <v>4</v>
      </c>
      <c r="D134" s="221" t="s">
        <v>101</v>
      </c>
      <c r="E134" s="221">
        <v>-3</v>
      </c>
      <c r="F134" s="221">
        <v>7</v>
      </c>
      <c r="G134" s="221">
        <v>153.49</v>
      </c>
      <c r="H134" s="158">
        <f t="shared" si="21"/>
        <v>300</v>
      </c>
      <c r="I134" s="221">
        <f t="shared" si="28"/>
        <v>153.49</v>
      </c>
      <c r="J134" s="221">
        <v>24.3</v>
      </c>
      <c r="K134" s="260">
        <f>AB134</f>
        <v>7.99</v>
      </c>
      <c r="L134" s="260">
        <v>1</v>
      </c>
      <c r="M134" s="258">
        <f>$K$6*(I134*$AK$12+IF(J134&gt;30,30*$AK$13+IF(J134&gt;60,30*$AK$14+IF(J134&gt;120,60*$AK$15,(J134-60)*$AK$15),(J134-30)*$AK$14),J134*$AK$13)+$AK$17*K134+L134*$AK$18)</f>
        <v>2991656.0921399998</v>
      </c>
      <c r="N134" s="221" t="s">
        <v>36</v>
      </c>
      <c r="O134" s="258">
        <f t="shared" si="32"/>
        <v>2991656.0921399998</v>
      </c>
      <c r="P134" s="258">
        <f t="shared" si="29"/>
        <v>2243742.0691049998</v>
      </c>
      <c r="Q134" s="258">
        <f t="shared" si="30"/>
        <v>3836391.0913799996</v>
      </c>
      <c r="R134" s="258">
        <f t="shared" si="31"/>
        <v>3336391.0913799996</v>
      </c>
      <c r="S134" s="258"/>
      <c r="T134" s="221"/>
      <c r="U134" s="264">
        <v>4</v>
      </c>
      <c r="V134" s="113"/>
      <c r="Z134" s="80" t="str">
        <f>C134&amp;A134</f>
        <v>4B2</v>
      </c>
      <c r="AA134" s="81">
        <v>4</v>
      </c>
      <c r="AB134" s="82">
        <v>7.99</v>
      </c>
      <c r="AC134" s="84"/>
      <c r="AE134" s="153"/>
      <c r="AF134" s="153"/>
    </row>
    <row r="135" spans="1:33" ht="16.5" customHeight="1" x14ac:dyDescent="0.25">
      <c r="A135" s="247" t="s">
        <v>126</v>
      </c>
      <c r="B135" s="221">
        <v>38</v>
      </c>
      <c r="C135" s="221">
        <v>5</v>
      </c>
      <c r="D135" s="221" t="s">
        <v>102</v>
      </c>
      <c r="E135" s="221">
        <v>-2</v>
      </c>
      <c r="F135" s="221">
        <v>5</v>
      </c>
      <c r="G135" s="221">
        <v>124.84</v>
      </c>
      <c r="H135" s="158">
        <f t="shared" si="21"/>
        <v>125</v>
      </c>
      <c r="I135" s="221">
        <f t="shared" si="28"/>
        <v>124.84</v>
      </c>
      <c r="J135" s="221">
        <v>16.309999999999999</v>
      </c>
      <c r="K135" s="248">
        <f>AB135</f>
        <v>7.97</v>
      </c>
      <c r="L135" s="260">
        <v>1</v>
      </c>
      <c r="M135" s="258">
        <f>$K$6*(I135*$AK$12+IF(J135&gt;30,30*$AK$13+IF(J135&gt;60,30*$AK$14+IF(J135&gt;120,60*$AK$15,(J135-60)*$AK$15),(J135-30)*$AK$14),J135*$AK$13)+$AK$17*K135+L135*$AK$18)</f>
        <v>2429229.7456799997</v>
      </c>
      <c r="N135" s="221" t="s">
        <v>39</v>
      </c>
      <c r="O135" s="258">
        <f t="shared" si="32"/>
        <v>2429229.7456799997</v>
      </c>
      <c r="P135" s="258">
        <f t="shared" si="29"/>
        <v>1821922.3092599998</v>
      </c>
      <c r="Q135" s="258">
        <f t="shared" si="30"/>
        <v>3115155.9765599999</v>
      </c>
      <c r="R135" s="258">
        <f t="shared" si="31"/>
        <v>2615155.9765599999</v>
      </c>
      <c r="S135" s="258">
        <f t="shared" si="22"/>
        <v>2429229.7456799997</v>
      </c>
      <c r="T135" s="221"/>
      <c r="U135" s="264">
        <v>5</v>
      </c>
      <c r="V135" s="297" t="s">
        <v>291</v>
      </c>
      <c r="W135" s="219" t="s">
        <v>291</v>
      </c>
      <c r="X135" s="219" t="s">
        <v>291</v>
      </c>
      <c r="Z135" s="80" t="str">
        <f>C135&amp;A135</f>
        <v>5B2</v>
      </c>
      <c r="AA135" s="81">
        <v>5</v>
      </c>
      <c r="AB135" s="82">
        <v>7.97</v>
      </c>
      <c r="AC135" s="84"/>
      <c r="AE135" s="153"/>
      <c r="AF135" s="153"/>
    </row>
    <row r="136" spans="1:33" ht="16.5" customHeight="1" x14ac:dyDescent="0.25">
      <c r="A136" s="247" t="s">
        <v>126</v>
      </c>
      <c r="B136" s="221">
        <v>38</v>
      </c>
      <c r="C136" s="221">
        <v>6</v>
      </c>
      <c r="D136" s="221" t="s">
        <v>103</v>
      </c>
      <c r="E136" s="221">
        <v>-2</v>
      </c>
      <c r="F136" s="221">
        <v>7</v>
      </c>
      <c r="G136" s="221">
        <v>154.38</v>
      </c>
      <c r="H136" s="158">
        <f t="shared" si="21"/>
        <v>300</v>
      </c>
      <c r="I136" s="221">
        <f t="shared" si="28"/>
        <v>154.38</v>
      </c>
      <c r="J136" s="221">
        <v>16.309999999999999</v>
      </c>
      <c r="K136" s="248">
        <f>AB136</f>
        <v>8.1300000000000008</v>
      </c>
      <c r="L136" s="260">
        <v>1</v>
      </c>
      <c r="M136" s="258">
        <f>$K$6*(I136*$AK$12+IF(J136&gt;30,30*$AK$13+IF(J136&gt;60,30*$AK$14+IF(J136&gt;120,60*$AK$15,(J136-60)*$AK$15),(J136-30)*$AK$14),J136*$AK$13)+$AK$17*K136+L136*$AK$18)</f>
        <v>2965122.2758399998</v>
      </c>
      <c r="N136" s="221" t="s">
        <v>36</v>
      </c>
      <c r="O136" s="258">
        <f t="shared" si="32"/>
        <v>2965122.2758399998</v>
      </c>
      <c r="P136" s="258">
        <f t="shared" si="29"/>
        <v>2223841.70688</v>
      </c>
      <c r="Q136" s="258">
        <f t="shared" si="30"/>
        <v>3802365.0892799995</v>
      </c>
      <c r="R136" s="258">
        <f t="shared" si="31"/>
        <v>3302365.0892799995</v>
      </c>
      <c r="S136" s="258"/>
      <c r="T136" s="221"/>
      <c r="U136" s="264">
        <v>6</v>
      </c>
      <c r="V136" s="113"/>
      <c r="Z136" s="80" t="str">
        <f>C136&amp;A136</f>
        <v>6B2</v>
      </c>
      <c r="AA136" s="81">
        <v>6</v>
      </c>
      <c r="AB136" s="82">
        <v>8.1300000000000008</v>
      </c>
      <c r="AC136" s="84"/>
      <c r="AE136" s="153"/>
      <c r="AF136" s="153"/>
    </row>
    <row r="137" spans="1:33" ht="16.5" customHeight="1" x14ac:dyDescent="0.25">
      <c r="A137" s="247" t="s">
        <v>126</v>
      </c>
      <c r="B137" s="221">
        <v>38</v>
      </c>
      <c r="C137" s="221">
        <v>7</v>
      </c>
      <c r="D137" s="221" t="s">
        <v>104</v>
      </c>
      <c r="E137" s="221">
        <v>-1</v>
      </c>
      <c r="F137" s="221">
        <v>6</v>
      </c>
      <c r="G137" s="221">
        <v>142.18</v>
      </c>
      <c r="H137" s="158">
        <f t="shared" si="21"/>
        <v>145</v>
      </c>
      <c r="I137" s="221">
        <f t="shared" si="28"/>
        <v>142.18</v>
      </c>
      <c r="J137" s="221">
        <v>23.97</v>
      </c>
      <c r="K137" s="260">
        <f>AB137</f>
        <v>8.3699999999999992</v>
      </c>
      <c r="L137" s="248">
        <v>1</v>
      </c>
      <c r="M137" s="258">
        <f>$K$6*(I137*$AK$12+IF(J137&gt;30,30*$AK$13+IF(J137&gt;60,30*$AK$14+IF(J137&gt;120,60*$AK$15,(J137-60)*$AK$15),(J137-30)*$AK$14),J137*$AK$13)+$AK$17*K137+L137*$AK$18)</f>
        <v>2787083.0852399999</v>
      </c>
      <c r="N137" s="221" t="s">
        <v>39</v>
      </c>
      <c r="O137" s="258">
        <f t="shared" si="32"/>
        <v>2787083.0852399999</v>
      </c>
      <c r="P137" s="258">
        <f t="shared" si="29"/>
        <v>2090312.3139299999</v>
      </c>
      <c r="Q137" s="258">
        <f t="shared" si="30"/>
        <v>3574054.0990800001</v>
      </c>
      <c r="R137" s="258">
        <f t="shared" si="31"/>
        <v>3074054.0990800001</v>
      </c>
      <c r="S137" s="258">
        <f t="shared" si="22"/>
        <v>2787083.0852399999</v>
      </c>
      <c r="T137" s="221"/>
      <c r="U137" s="264">
        <v>7</v>
      </c>
      <c r="V137" s="296" t="s">
        <v>291</v>
      </c>
      <c r="W137" s="219" t="s">
        <v>291</v>
      </c>
      <c r="X137" s="219" t="s">
        <v>291</v>
      </c>
      <c r="Z137" s="80" t="str">
        <f>C137&amp;A137</f>
        <v>7B2</v>
      </c>
      <c r="AA137" s="81">
        <v>7</v>
      </c>
      <c r="AB137" s="82">
        <v>8.3699999999999992</v>
      </c>
      <c r="AC137" s="84"/>
      <c r="AE137" s="153"/>
      <c r="AF137" s="153"/>
    </row>
    <row r="138" spans="1:33" ht="16.5" customHeight="1" x14ac:dyDescent="0.25">
      <c r="A138" s="247" t="s">
        <v>126</v>
      </c>
      <c r="B138" s="221">
        <v>38</v>
      </c>
      <c r="C138" s="221">
        <v>8</v>
      </c>
      <c r="D138" s="221" t="s">
        <v>105</v>
      </c>
      <c r="E138" s="221">
        <v>-1</v>
      </c>
      <c r="F138" s="221">
        <v>6</v>
      </c>
      <c r="G138" s="221">
        <v>138.85</v>
      </c>
      <c r="H138" s="158">
        <f t="shared" si="21"/>
        <v>145</v>
      </c>
      <c r="I138" s="221">
        <f t="shared" si="28"/>
        <v>138.85</v>
      </c>
      <c r="J138" s="221">
        <v>23.97</v>
      </c>
      <c r="K138" s="265">
        <f>AB157</f>
        <v>7.47</v>
      </c>
      <c r="L138" s="248">
        <v>1</v>
      </c>
      <c r="M138" s="258">
        <f>$K$6*(I138*$AK$12+IF(J138&gt;30,30*$AK$13+IF(J138&gt;60,30*$AK$14+IF(J138&gt;120,60*$AK$15,(J138-60)*$AK$15),(J138-30)*$AK$14),J138*$AK$13)+$AK$17*K138+L138*$AK$18)</f>
        <v>2721880.5332399998</v>
      </c>
      <c r="N138" s="221" t="s">
        <v>39</v>
      </c>
      <c r="O138" s="258">
        <f t="shared" si="32"/>
        <v>2721880.5332399998</v>
      </c>
      <c r="P138" s="258">
        <f t="shared" si="29"/>
        <v>2041410.3999299998</v>
      </c>
      <c r="Q138" s="258">
        <f t="shared" si="30"/>
        <v>3490440.7150799995</v>
      </c>
      <c r="R138" s="258">
        <f t="shared" si="31"/>
        <v>2990440.7150799995</v>
      </c>
      <c r="S138" s="258">
        <f t="shared" si="22"/>
        <v>2721880.5332399998</v>
      </c>
      <c r="T138" s="221"/>
      <c r="U138" s="264">
        <v>27</v>
      </c>
      <c r="V138" s="296" t="s">
        <v>291</v>
      </c>
      <c r="W138" s="219" t="s">
        <v>291</v>
      </c>
      <c r="X138" s="219" t="s">
        <v>291</v>
      </c>
      <c r="Z138" s="127" t="str">
        <f>C158&amp;A158</f>
        <v>28B2</v>
      </c>
      <c r="AA138" s="128">
        <v>8</v>
      </c>
      <c r="AB138" s="82">
        <v>16.239999999999998</v>
      </c>
      <c r="AC138" s="84"/>
      <c r="AE138" s="153"/>
      <c r="AF138" s="153"/>
    </row>
    <row r="139" spans="1:33" ht="16.5" customHeight="1" x14ac:dyDescent="0.25">
      <c r="A139" s="247" t="s">
        <v>126</v>
      </c>
      <c r="B139" s="221">
        <v>38</v>
      </c>
      <c r="C139" s="221">
        <v>9</v>
      </c>
      <c r="D139" s="221" t="s">
        <v>106</v>
      </c>
      <c r="E139" s="221">
        <v>0</v>
      </c>
      <c r="F139" s="221">
        <v>6</v>
      </c>
      <c r="G139" s="221">
        <v>142.18</v>
      </c>
      <c r="H139" s="158">
        <f t="shared" si="21"/>
        <v>145</v>
      </c>
      <c r="I139" s="221">
        <f t="shared" si="28"/>
        <v>142.18</v>
      </c>
      <c r="J139" s="221">
        <v>16.309999999999999</v>
      </c>
      <c r="K139" s="265">
        <f>AB139</f>
        <v>7.25</v>
      </c>
      <c r="L139" s="260">
        <v>1</v>
      </c>
      <c r="M139" s="258">
        <f>$K$6*(I139*$AK$12+IF(J139&gt;30,30*$AK$13+IF(J139&gt;60,30*$AK$14+IF(J139&gt;120,60*$AK$15,(J139-60)*$AK$15),(J139-30)*$AK$14),J139*$AK$13)+$AK$17*K139+L139*$AK$18)</f>
        <v>2739376.5513600004</v>
      </c>
      <c r="N139" s="221" t="s">
        <v>39</v>
      </c>
      <c r="O139" s="258">
        <f t="shared" si="32"/>
        <v>2739376.5513600004</v>
      </c>
      <c r="P139" s="258">
        <f t="shared" si="29"/>
        <v>2054532.4135200004</v>
      </c>
      <c r="Q139" s="258">
        <f t="shared" si="30"/>
        <v>3512876.9731200002</v>
      </c>
      <c r="R139" s="258">
        <f t="shared" si="31"/>
        <v>3012876.9731200002</v>
      </c>
      <c r="S139" s="258">
        <f t="shared" si="22"/>
        <v>2739376.5513600004</v>
      </c>
      <c r="T139" s="221"/>
      <c r="U139" s="264">
        <v>9</v>
      </c>
      <c r="V139" s="296" t="s">
        <v>291</v>
      </c>
      <c r="W139" s="219" t="s">
        <v>291</v>
      </c>
      <c r="X139" s="219" t="s">
        <v>291</v>
      </c>
      <c r="Z139" s="80" t="str">
        <f>C139&amp;A139</f>
        <v>9B2</v>
      </c>
      <c r="AA139" s="81">
        <v>9</v>
      </c>
      <c r="AB139" s="82">
        <v>7.25</v>
      </c>
      <c r="AC139" s="84"/>
      <c r="AE139" s="153"/>
      <c r="AF139" s="153"/>
    </row>
    <row r="140" spans="1:33" ht="16.5" customHeight="1" x14ac:dyDescent="0.25">
      <c r="A140" s="247" t="s">
        <v>126</v>
      </c>
      <c r="B140" s="221">
        <v>38</v>
      </c>
      <c r="C140" s="221">
        <v>10</v>
      </c>
      <c r="D140" s="221" t="s">
        <v>107</v>
      </c>
      <c r="E140" s="221">
        <v>0</v>
      </c>
      <c r="F140" s="221">
        <v>6</v>
      </c>
      <c r="G140" s="221">
        <v>138.85</v>
      </c>
      <c r="H140" s="158">
        <f t="shared" si="21"/>
        <v>145</v>
      </c>
      <c r="I140" s="221">
        <f t="shared" si="28"/>
        <v>138.85</v>
      </c>
      <c r="J140" s="221">
        <v>16.309999999999999</v>
      </c>
      <c r="K140" s="260">
        <f>AB140</f>
        <v>6.19</v>
      </c>
      <c r="L140" s="260">
        <v>1</v>
      </c>
      <c r="M140" s="258">
        <f>$K$6*(I140*$AK$12+IF(J140&gt;30,30*$AK$13+IF(J140&gt;60,30*$AK$14+IF(J140&gt;120,60*$AK$15,(J140-60)*$AK$15),(J140-30)*$AK$14),J140*$AK$13)+$AK$17*K140+L140*$AK$18)</f>
        <v>2673304.6319999998</v>
      </c>
      <c r="N140" s="221" t="s">
        <v>39</v>
      </c>
      <c r="O140" s="258">
        <f t="shared" si="32"/>
        <v>2673304.6319999998</v>
      </c>
      <c r="P140" s="258">
        <f t="shared" si="29"/>
        <v>2004978.4739999999</v>
      </c>
      <c r="Q140" s="258">
        <f t="shared" si="30"/>
        <v>3428148.7439999995</v>
      </c>
      <c r="R140" s="258">
        <f t="shared" si="31"/>
        <v>2928148.7439999995</v>
      </c>
      <c r="S140" s="258">
        <f t="shared" si="22"/>
        <v>2673304.6319999998</v>
      </c>
      <c r="T140" s="221"/>
      <c r="U140" s="264">
        <v>10</v>
      </c>
      <c r="V140" s="296" t="s">
        <v>291</v>
      </c>
      <c r="W140" s="219" t="s">
        <v>291</v>
      </c>
      <c r="X140" s="219" t="s">
        <v>291</v>
      </c>
      <c r="Z140" s="80" t="str">
        <f>C140&amp;A140</f>
        <v>10B2</v>
      </c>
      <c r="AA140" s="81">
        <v>10</v>
      </c>
      <c r="AB140" s="82">
        <v>6.19</v>
      </c>
      <c r="AC140" s="84"/>
      <c r="AE140" s="153"/>
      <c r="AF140" s="153"/>
    </row>
    <row r="141" spans="1:33" ht="16.5" customHeight="1" x14ac:dyDescent="0.25">
      <c r="A141" s="247" t="s">
        <v>126</v>
      </c>
      <c r="B141" s="221">
        <v>38</v>
      </c>
      <c r="C141" s="221">
        <v>11</v>
      </c>
      <c r="D141" s="221" t="s">
        <v>108</v>
      </c>
      <c r="E141" s="221">
        <v>1</v>
      </c>
      <c r="F141" s="221">
        <v>5</v>
      </c>
      <c r="G141" s="221">
        <v>124.33</v>
      </c>
      <c r="H141" s="158">
        <f t="shared" si="21"/>
        <v>125</v>
      </c>
      <c r="I141" s="221">
        <f t="shared" si="28"/>
        <v>124.33</v>
      </c>
      <c r="J141" s="221">
        <v>31.31</v>
      </c>
      <c r="K141" s="248">
        <f>AB141</f>
        <v>6.25</v>
      </c>
      <c r="L141" s="260">
        <v>1</v>
      </c>
      <c r="M141" s="258">
        <f>$K$6*(I141*$AK$12+IF(J141&gt;30,30*$AK$13+IF(J141&gt;60,30*$AK$14+IF(J141&gt;120,60*$AK$15,(J141-60)*$AK$15),(J141-30)*$AK$14),J141*$AK$13)+$AK$17*K141+L141*$AK$18)</f>
        <v>2489777.5599399996</v>
      </c>
      <c r="N141" s="221" t="s">
        <v>39</v>
      </c>
      <c r="O141" s="258">
        <f t="shared" si="32"/>
        <v>2489777.5599399996</v>
      </c>
      <c r="P141" s="258">
        <f t="shared" si="29"/>
        <v>1867333.1699549998</v>
      </c>
      <c r="Q141" s="258">
        <f t="shared" si="30"/>
        <v>3192800.2939799996</v>
      </c>
      <c r="R141" s="258">
        <f t="shared" si="31"/>
        <v>2692800.2939799996</v>
      </c>
      <c r="S141" s="258">
        <f t="shared" si="22"/>
        <v>2489777.5599399996</v>
      </c>
      <c r="T141" s="221"/>
      <c r="U141" s="264">
        <v>11</v>
      </c>
      <c r="V141" s="296" t="s">
        <v>291</v>
      </c>
      <c r="W141" s="219" t="s">
        <v>291</v>
      </c>
      <c r="X141" s="219" t="s">
        <v>291</v>
      </c>
      <c r="Z141" s="80" t="str">
        <f>C141&amp;A141</f>
        <v>11B2</v>
      </c>
      <c r="AA141" s="81">
        <v>11</v>
      </c>
      <c r="AB141" s="82">
        <v>6.25</v>
      </c>
      <c r="AC141" s="84"/>
      <c r="AE141" s="153"/>
      <c r="AF141" s="153"/>
    </row>
    <row r="142" spans="1:33" ht="16.5" customHeight="1" x14ac:dyDescent="0.25">
      <c r="A142" s="247" t="s">
        <v>126</v>
      </c>
      <c r="B142" s="221">
        <v>38</v>
      </c>
      <c r="C142" s="221">
        <v>12</v>
      </c>
      <c r="D142" s="221" t="s">
        <v>109</v>
      </c>
      <c r="E142" s="221">
        <v>1</v>
      </c>
      <c r="F142" s="221">
        <v>7</v>
      </c>
      <c r="G142" s="221">
        <v>153.84</v>
      </c>
      <c r="H142" s="158">
        <f t="shared" si="21"/>
        <v>300</v>
      </c>
      <c r="I142" s="221">
        <f t="shared" si="28"/>
        <v>153.84</v>
      </c>
      <c r="J142" s="221">
        <v>31.31</v>
      </c>
      <c r="K142" s="248">
        <f>AB142</f>
        <v>6.37</v>
      </c>
      <c r="L142" s="248">
        <v>1</v>
      </c>
      <c r="M142" s="258">
        <f>$K$6*(I142*$AK$12+IF(J142&gt;30,30*$AK$13+IF(J142&gt;60,30*$AK$14+IF(J142&gt;120,60*$AK$15,(J142-60)*$AK$15),(J142-30)*$AK$14),J142*$AK$13)+$AK$17*K142+L142*$AK$18)</f>
        <v>3024909.3936600001</v>
      </c>
      <c r="N142" s="221" t="s">
        <v>36</v>
      </c>
      <c r="O142" s="258">
        <f t="shared" si="32"/>
        <v>3024909.3936600001</v>
      </c>
      <c r="P142" s="258">
        <f t="shared" si="29"/>
        <v>2268682.0452450002</v>
      </c>
      <c r="Q142" s="258">
        <f t="shared" si="30"/>
        <v>3879033.9172199997</v>
      </c>
      <c r="R142" s="258">
        <f t="shared" si="31"/>
        <v>3379033.9172199997</v>
      </c>
      <c r="S142" s="258"/>
      <c r="T142" s="221"/>
      <c r="U142" s="264">
        <v>12</v>
      </c>
      <c r="V142" s="113"/>
      <c r="Z142" s="80" t="str">
        <f>C142&amp;A142</f>
        <v>12B2</v>
      </c>
      <c r="AA142" s="81">
        <v>12</v>
      </c>
      <c r="AB142" s="82">
        <v>6.37</v>
      </c>
      <c r="AC142" s="84"/>
      <c r="AE142" s="153"/>
      <c r="AF142" s="153"/>
    </row>
    <row r="143" spans="1:33" ht="16.5" customHeight="1" x14ac:dyDescent="0.25">
      <c r="A143" s="247" t="s">
        <v>126</v>
      </c>
      <c r="B143" s="221">
        <v>38</v>
      </c>
      <c r="C143" s="221">
        <v>13</v>
      </c>
      <c r="D143" s="221" t="s">
        <v>129</v>
      </c>
      <c r="E143" s="221">
        <v>1</v>
      </c>
      <c r="F143" s="221">
        <v>3</v>
      </c>
      <c r="G143" s="221">
        <v>80.53</v>
      </c>
      <c r="H143" s="158">
        <f t="shared" si="21"/>
        <v>90</v>
      </c>
      <c r="I143" s="221">
        <f t="shared" si="28"/>
        <v>80.53</v>
      </c>
      <c r="J143" s="221">
        <v>104.57</v>
      </c>
      <c r="K143" s="260">
        <f>AB143</f>
        <v>4.12</v>
      </c>
      <c r="L143" s="248">
        <v>1</v>
      </c>
      <c r="M143" s="258">
        <f>$K$6*(I143*$AK$12+IF(J143&gt;30,30*$AK$13+IF(J143&gt;60,30*$AK$14+IF(J143&gt;120,60*$AK$15,(J143-60)*$AK$15),(J143-30)*$AK$14),J143*$AK$13)+$AK$17*K143+L143*$AK$18)</f>
        <v>1869556.39586</v>
      </c>
      <c r="N143" s="221" t="s">
        <v>39</v>
      </c>
      <c r="O143" s="258">
        <f t="shared" si="32"/>
        <v>1869556.39586</v>
      </c>
      <c r="P143" s="258">
        <f t="shared" si="29"/>
        <v>1402167.2968950002</v>
      </c>
      <c r="Q143" s="258">
        <f t="shared" si="30"/>
        <v>2397451.20462</v>
      </c>
      <c r="R143" s="258">
        <f t="shared" si="31"/>
        <v>1897451.20462</v>
      </c>
      <c r="S143" s="258">
        <f t="shared" ref="S142:S200" si="33">IF(R143&lt;P143,P143,MIN(R143,O143))</f>
        <v>1869556.39586</v>
      </c>
      <c r="T143" s="221"/>
      <c r="U143" s="264">
        <v>13</v>
      </c>
      <c r="V143" s="296" t="s">
        <v>291</v>
      </c>
      <c r="W143" s="219" t="s">
        <v>291</v>
      </c>
      <c r="X143" s="219" t="s">
        <v>291</v>
      </c>
      <c r="Z143" s="80" t="str">
        <f>C143&amp;A143</f>
        <v>13B2</v>
      </c>
      <c r="AA143" s="81">
        <v>13</v>
      </c>
      <c r="AB143" s="82">
        <v>4.12</v>
      </c>
      <c r="AC143" s="84"/>
      <c r="AE143" s="153"/>
      <c r="AF143" s="153"/>
    </row>
    <row r="144" spans="1:33" ht="16.5" customHeight="1" x14ac:dyDescent="0.25">
      <c r="A144" s="247" t="s">
        <v>126</v>
      </c>
      <c r="B144" s="221">
        <v>38</v>
      </c>
      <c r="C144" s="221">
        <v>14</v>
      </c>
      <c r="D144" s="221" t="s">
        <v>111</v>
      </c>
      <c r="E144" s="221">
        <v>1</v>
      </c>
      <c r="F144" s="221">
        <v>3</v>
      </c>
      <c r="G144" s="221">
        <v>80.39</v>
      </c>
      <c r="H144" s="158">
        <f t="shared" ref="H144:H207" si="34">VLOOKUP(F144,$AM$3:$AN$11,2,FALSE)</f>
        <v>90</v>
      </c>
      <c r="I144" s="221">
        <f t="shared" si="28"/>
        <v>80.39</v>
      </c>
      <c r="J144" s="221">
        <v>78.650000000000006</v>
      </c>
      <c r="K144" s="248">
        <f>AB144</f>
        <v>4.12</v>
      </c>
      <c r="L144" s="260">
        <v>1</v>
      </c>
      <c r="M144" s="258">
        <f>$K$6*(I144*$AK$12+IF(J144&gt;30,30*$AK$13+IF(J144&gt;60,30*$AK$14+IF(J144&gt;120,60*$AK$15,(J144-60)*$AK$15),(J144-30)*$AK$14),J144*$AK$13)+$AK$17*K144+L144*$AK$18)</f>
        <v>1820074.90362</v>
      </c>
      <c r="N144" s="221" t="s">
        <v>39</v>
      </c>
      <c r="O144" s="258">
        <f t="shared" si="32"/>
        <v>1820074.90362</v>
      </c>
      <c r="P144" s="258">
        <f t="shared" si="29"/>
        <v>1365056.177715</v>
      </c>
      <c r="Q144" s="258">
        <f t="shared" si="30"/>
        <v>2333997.9365399997</v>
      </c>
      <c r="R144" s="258">
        <f t="shared" si="31"/>
        <v>1833997.9365399997</v>
      </c>
      <c r="S144" s="258">
        <f t="shared" si="33"/>
        <v>1820074.90362</v>
      </c>
      <c r="T144" s="221"/>
      <c r="U144" s="264">
        <v>14</v>
      </c>
      <c r="V144" s="296" t="s">
        <v>291</v>
      </c>
      <c r="W144" s="219" t="s">
        <v>291</v>
      </c>
      <c r="X144" s="219" t="s">
        <v>291</v>
      </c>
      <c r="Z144" s="80" t="str">
        <f>C144&amp;A144</f>
        <v>14B2</v>
      </c>
      <c r="AA144" s="81">
        <v>14</v>
      </c>
      <c r="AB144" s="82">
        <v>4.12</v>
      </c>
      <c r="AC144" s="84"/>
      <c r="AE144" s="153"/>
      <c r="AF144" s="153"/>
    </row>
    <row r="145" spans="1:35" ht="16.5" customHeight="1" x14ac:dyDescent="0.25">
      <c r="A145" s="247" t="s">
        <v>126</v>
      </c>
      <c r="B145" s="221">
        <v>38</v>
      </c>
      <c r="C145" s="221">
        <v>15</v>
      </c>
      <c r="D145" s="221" t="s">
        <v>112</v>
      </c>
      <c r="E145" s="221">
        <v>2</v>
      </c>
      <c r="F145" s="221">
        <v>5</v>
      </c>
      <c r="G145" s="221">
        <v>124.33</v>
      </c>
      <c r="H145" s="158">
        <f t="shared" si="34"/>
        <v>125</v>
      </c>
      <c r="I145" s="221">
        <f t="shared" si="28"/>
        <v>124.33</v>
      </c>
      <c r="J145" s="221">
        <v>22.95</v>
      </c>
      <c r="K145" s="248">
        <f>AB145</f>
        <v>6.35</v>
      </c>
      <c r="L145" s="260">
        <v>1</v>
      </c>
      <c r="M145" s="258">
        <f>$K$6*(I145*$AK$12+IF(J145&gt;30,30*$AK$13+IF(J145&gt;60,30*$AK$14+IF(J145&gt;120,60*$AK$15,(J145-60)*$AK$15),(J145-30)*$AK$14),J145*$AK$13)+$AK$17*K145+L145*$AK$18)</f>
        <v>2447269.1184</v>
      </c>
      <c r="N145" s="221" t="s">
        <v>39</v>
      </c>
      <c r="O145" s="258">
        <f t="shared" si="32"/>
        <v>2447269.1184</v>
      </c>
      <c r="P145" s="258">
        <f t="shared" si="29"/>
        <v>1835451.8388</v>
      </c>
      <c r="Q145" s="258">
        <f t="shared" si="30"/>
        <v>3138289.0128000001</v>
      </c>
      <c r="R145" s="258">
        <f t="shared" si="31"/>
        <v>2638289.0128000001</v>
      </c>
      <c r="S145" s="258">
        <f t="shared" si="33"/>
        <v>2447269.1184</v>
      </c>
      <c r="T145" s="221"/>
      <c r="U145" s="264">
        <v>15</v>
      </c>
      <c r="V145" s="296" t="s">
        <v>291</v>
      </c>
      <c r="W145" s="219" t="s">
        <v>291</v>
      </c>
      <c r="X145" s="219" t="s">
        <v>291</v>
      </c>
      <c r="Z145" s="80" t="str">
        <f>C145&amp;A145</f>
        <v>15B2</v>
      </c>
      <c r="AA145" s="81">
        <v>15</v>
      </c>
      <c r="AB145" s="82">
        <v>6.35</v>
      </c>
      <c r="AC145" s="84"/>
      <c r="AE145" s="153"/>
      <c r="AF145" s="153"/>
    </row>
    <row r="146" spans="1:35" ht="16.5" customHeight="1" x14ac:dyDescent="0.25">
      <c r="A146" s="247" t="s">
        <v>126</v>
      </c>
      <c r="B146" s="221">
        <v>38</v>
      </c>
      <c r="C146" s="221">
        <v>16</v>
      </c>
      <c r="D146" s="221" t="s">
        <v>113</v>
      </c>
      <c r="E146" s="221">
        <v>2</v>
      </c>
      <c r="F146" s="221">
        <v>7</v>
      </c>
      <c r="G146" s="221">
        <v>153.84</v>
      </c>
      <c r="H146" s="158">
        <f t="shared" si="34"/>
        <v>300</v>
      </c>
      <c r="I146" s="221">
        <f t="shared" si="28"/>
        <v>153.84</v>
      </c>
      <c r="J146" s="221">
        <v>22.95</v>
      </c>
      <c r="K146" s="260">
        <f>AB146</f>
        <v>4.12</v>
      </c>
      <c r="L146" s="260">
        <v>1</v>
      </c>
      <c r="M146" s="258">
        <f>$K$6*(I146*$AK$12+IF(J146&gt;30,30*$AK$13+IF(J146&gt;60,30*$AK$14+IF(J146&gt;120,60*$AK$15,(J146-60)*$AK$15),(J146-30)*$AK$14),J146*$AK$13)+$AK$17*K146+L146*$AK$18)</f>
        <v>2969632.1190199996</v>
      </c>
      <c r="N146" s="221" t="s">
        <v>36</v>
      </c>
      <c r="O146" s="258">
        <f t="shared" si="32"/>
        <v>2969632.1190199996</v>
      </c>
      <c r="P146" s="258">
        <f t="shared" si="29"/>
        <v>2227224.0892649996</v>
      </c>
      <c r="Q146" s="258">
        <f t="shared" si="30"/>
        <v>3808148.3483399996</v>
      </c>
      <c r="R146" s="258">
        <f t="shared" si="31"/>
        <v>3308148.3483399996</v>
      </c>
      <c r="S146" s="258"/>
      <c r="T146" s="221"/>
      <c r="U146" s="264">
        <v>16</v>
      </c>
      <c r="V146" s="113"/>
      <c r="Z146" s="80" t="str">
        <f>C146&amp;A146</f>
        <v>16B2</v>
      </c>
      <c r="AA146" s="81">
        <v>16</v>
      </c>
      <c r="AB146" s="82">
        <v>4.12</v>
      </c>
      <c r="AC146" s="84"/>
      <c r="AE146" s="153"/>
      <c r="AF146" s="153"/>
    </row>
    <row r="147" spans="1:35" ht="16.5" customHeight="1" x14ac:dyDescent="0.25">
      <c r="A147" s="247" t="s">
        <v>126</v>
      </c>
      <c r="B147" s="221">
        <v>38</v>
      </c>
      <c r="C147" s="221">
        <v>17</v>
      </c>
      <c r="D147" s="221" t="s">
        <v>114</v>
      </c>
      <c r="E147" s="221">
        <v>2</v>
      </c>
      <c r="F147" s="221">
        <v>3</v>
      </c>
      <c r="G147" s="221">
        <v>80.53</v>
      </c>
      <c r="H147" s="158">
        <f t="shared" si="34"/>
        <v>90</v>
      </c>
      <c r="I147" s="221">
        <f t="shared" si="28"/>
        <v>80.53</v>
      </c>
      <c r="J147" s="221">
        <v>21.52</v>
      </c>
      <c r="K147" s="248">
        <f>AB147</f>
        <v>4.12</v>
      </c>
      <c r="L147" s="248">
        <v>1</v>
      </c>
      <c r="M147" s="258">
        <f>$K$6*(I147*$AK$12+IF(J147&gt;30,30*$AK$13+IF(J147&gt;60,30*$AK$14+IF(J147&gt;120,60*$AK$15,(J147-60)*$AK$15),(J147-30)*$AK$14),J147*$AK$13)+$AK$17*K147+L147*$AK$18)</f>
        <v>1634084.6240400001</v>
      </c>
      <c r="N147" s="221" t="s">
        <v>39</v>
      </c>
      <c r="O147" s="258">
        <f t="shared" si="32"/>
        <v>1634084.6240400001</v>
      </c>
      <c r="P147" s="258">
        <f t="shared" si="29"/>
        <v>1225563.4680300001</v>
      </c>
      <c r="Q147" s="258">
        <f t="shared" si="30"/>
        <v>2095490.75868</v>
      </c>
      <c r="R147" s="258">
        <f t="shared" si="31"/>
        <v>1595490.75868</v>
      </c>
      <c r="S147" s="258">
        <f t="shared" si="33"/>
        <v>1595490.75868</v>
      </c>
      <c r="T147" s="221"/>
      <c r="U147" s="264">
        <v>17</v>
      </c>
      <c r="V147" s="296" t="s">
        <v>291</v>
      </c>
      <c r="W147" s="219" t="s">
        <v>291</v>
      </c>
      <c r="X147" s="219" t="s">
        <v>291</v>
      </c>
      <c r="Z147" s="80" t="str">
        <f>C147&amp;A147</f>
        <v>17B2</v>
      </c>
      <c r="AA147" s="81">
        <v>17</v>
      </c>
      <c r="AB147" s="82">
        <v>4.12</v>
      </c>
      <c r="AC147" s="84"/>
      <c r="AE147" s="153"/>
      <c r="AF147" s="153"/>
    </row>
    <row r="148" spans="1:35" ht="16.5" customHeight="1" x14ac:dyDescent="0.25">
      <c r="A148" s="247" t="s">
        <v>126</v>
      </c>
      <c r="B148" s="221">
        <v>38</v>
      </c>
      <c r="C148" s="221">
        <v>18</v>
      </c>
      <c r="D148" s="221" t="s">
        <v>115</v>
      </c>
      <c r="E148" s="221">
        <v>2</v>
      </c>
      <c r="F148" s="221">
        <v>3</v>
      </c>
      <c r="G148" s="221">
        <v>80.39</v>
      </c>
      <c r="H148" s="158">
        <f t="shared" si="34"/>
        <v>90</v>
      </c>
      <c r="I148" s="221">
        <f t="shared" si="28"/>
        <v>80.39</v>
      </c>
      <c r="J148" s="221">
        <v>21.52</v>
      </c>
      <c r="K148" s="248">
        <f>AB148</f>
        <v>5</v>
      </c>
      <c r="L148" s="248">
        <v>1</v>
      </c>
      <c r="M148" s="258">
        <f>$K$6*(I148*$AK$12+IF(J148&gt;30,30*$AK$13+IF(J148&gt;60,30*$AK$14+IF(J148&gt;120,60*$AK$15,(J148-60)*$AK$15),(J148-30)*$AK$14),J148*$AK$13)+$AK$17*K148+L148*$AK$18)</f>
        <v>1636330.48972</v>
      </c>
      <c r="N148" s="221" t="s">
        <v>39</v>
      </c>
      <c r="O148" s="258">
        <f t="shared" si="32"/>
        <v>1636330.48972</v>
      </c>
      <c r="P148" s="258">
        <f t="shared" si="29"/>
        <v>1227247.86729</v>
      </c>
      <c r="Q148" s="258">
        <f t="shared" si="30"/>
        <v>2098370.7752399999</v>
      </c>
      <c r="R148" s="258">
        <f t="shared" si="31"/>
        <v>1598370.7752399999</v>
      </c>
      <c r="S148" s="258">
        <f t="shared" si="33"/>
        <v>1598370.7752399999</v>
      </c>
      <c r="T148" s="221"/>
      <c r="U148" s="264">
        <v>18</v>
      </c>
      <c r="V148" s="296" t="s">
        <v>291</v>
      </c>
      <c r="W148" s="219" t="s">
        <v>291</v>
      </c>
      <c r="X148" s="219" t="s">
        <v>291</v>
      </c>
      <c r="Z148" s="80" t="str">
        <f>C148&amp;A148</f>
        <v>18B2</v>
      </c>
      <c r="AA148" s="81">
        <v>18</v>
      </c>
      <c r="AB148" s="82">
        <v>5</v>
      </c>
      <c r="AC148" s="84"/>
      <c r="AE148" s="153"/>
      <c r="AF148" s="153"/>
    </row>
    <row r="149" spans="1:35" ht="16.5" customHeight="1" x14ac:dyDescent="0.25">
      <c r="A149" s="247" t="s">
        <v>126</v>
      </c>
      <c r="B149" s="221">
        <v>38</v>
      </c>
      <c r="C149" s="221">
        <v>19</v>
      </c>
      <c r="D149" s="221" t="s">
        <v>116</v>
      </c>
      <c r="E149" s="221">
        <v>3</v>
      </c>
      <c r="F149" s="221">
        <v>4</v>
      </c>
      <c r="G149" s="221">
        <v>107.89</v>
      </c>
      <c r="H149" s="158">
        <f t="shared" si="34"/>
        <v>110</v>
      </c>
      <c r="I149" s="221">
        <f t="shared" si="28"/>
        <v>107.89</v>
      </c>
      <c r="J149" s="221">
        <v>48.93</v>
      </c>
      <c r="K149" s="260">
        <f>AB149</f>
        <v>8.94</v>
      </c>
      <c r="L149" s="260">
        <v>1</v>
      </c>
      <c r="M149" s="258">
        <f>$K$6*(I149*$AK$12+IF(J149&gt;30,30*$AK$13+IF(J149&gt;60,30*$AK$14+IF(J149&gt;120,60*$AK$15,(J149-60)*$AK$15),(J149-30)*$AK$14),J149*$AK$13)+$AK$17*K149+L149*$AK$18)</f>
        <v>2270461.53156</v>
      </c>
      <c r="N149" s="221" t="s">
        <v>39</v>
      </c>
      <c r="O149" s="258">
        <f t="shared" si="32"/>
        <v>2270461.53156</v>
      </c>
      <c r="P149" s="258">
        <f t="shared" si="29"/>
        <v>1702846.14867</v>
      </c>
      <c r="Q149" s="258">
        <f t="shared" si="30"/>
        <v>2911557.3865199997</v>
      </c>
      <c r="R149" s="258">
        <f t="shared" si="31"/>
        <v>2411557.3865199997</v>
      </c>
      <c r="S149" s="258">
        <f t="shared" si="33"/>
        <v>2270461.53156</v>
      </c>
      <c r="T149" s="221"/>
      <c r="U149" s="264">
        <v>19</v>
      </c>
      <c r="V149" s="296" t="s">
        <v>291</v>
      </c>
      <c r="W149" s="219" t="s">
        <v>291</v>
      </c>
      <c r="X149" s="219" t="s">
        <v>291</v>
      </c>
      <c r="Z149" s="80" t="str">
        <f>C149&amp;A149</f>
        <v>19B2</v>
      </c>
      <c r="AA149" s="81">
        <v>19</v>
      </c>
      <c r="AB149" s="82">
        <v>8.94</v>
      </c>
      <c r="AC149" s="84"/>
      <c r="AE149" s="153"/>
      <c r="AF149" s="153"/>
    </row>
    <row r="150" spans="1:35" ht="16.5" customHeight="1" x14ac:dyDescent="0.25">
      <c r="A150" s="247" t="s">
        <v>126</v>
      </c>
      <c r="B150" s="221">
        <v>38</v>
      </c>
      <c r="C150" s="221">
        <v>20</v>
      </c>
      <c r="D150" s="221" t="s">
        <v>121</v>
      </c>
      <c r="E150" s="221">
        <v>3</v>
      </c>
      <c r="F150" s="221">
        <v>4</v>
      </c>
      <c r="G150" s="221">
        <v>108.04</v>
      </c>
      <c r="H150" s="158">
        <f t="shared" si="34"/>
        <v>110</v>
      </c>
      <c r="I150" s="221">
        <f t="shared" si="28"/>
        <v>108.04</v>
      </c>
      <c r="J150" s="221">
        <v>37.729999999999997</v>
      </c>
      <c r="K150" s="248">
        <f>AB150</f>
        <v>9.9700000000000006</v>
      </c>
      <c r="L150" s="260">
        <v>1</v>
      </c>
      <c r="M150" s="258">
        <f>$K$6*(I150*$AK$12+IF(J150&gt;30,30*$AK$13+IF(J150&gt;60,30*$AK$14+IF(J150&gt;120,60*$AK$15,(J150-60)*$AK$15),(J150-30)*$AK$14),J150*$AK$13)+$AK$17*K150+L150*$AK$18)</f>
        <v>2238204.38014</v>
      </c>
      <c r="N150" s="221" t="s">
        <v>39</v>
      </c>
      <c r="O150" s="258">
        <f t="shared" si="32"/>
        <v>2238204.38014</v>
      </c>
      <c r="P150" s="258">
        <f t="shared" si="29"/>
        <v>1678653.285105</v>
      </c>
      <c r="Q150" s="258">
        <f t="shared" si="30"/>
        <v>2870191.9873800003</v>
      </c>
      <c r="R150" s="258">
        <f t="shared" si="31"/>
        <v>2370191.9873800003</v>
      </c>
      <c r="S150" s="258">
        <f t="shared" si="33"/>
        <v>2238204.38014</v>
      </c>
      <c r="T150" s="221"/>
      <c r="U150" s="264">
        <v>20</v>
      </c>
      <c r="V150" s="296" t="s">
        <v>291</v>
      </c>
      <c r="W150" s="219" t="s">
        <v>291</v>
      </c>
      <c r="X150" s="219" t="s">
        <v>291</v>
      </c>
      <c r="Z150" s="80" t="str">
        <f>C150&amp;A150</f>
        <v>20B2</v>
      </c>
      <c r="AA150" s="81">
        <v>20</v>
      </c>
      <c r="AB150" s="82">
        <v>9.9700000000000006</v>
      </c>
      <c r="AC150" s="84"/>
      <c r="AE150" s="153"/>
      <c r="AF150" s="153"/>
    </row>
    <row r="151" spans="1:35" ht="16.5" customHeight="1" x14ac:dyDescent="0.25">
      <c r="A151" s="247" t="s">
        <v>126</v>
      </c>
      <c r="B151" s="221">
        <v>38</v>
      </c>
      <c r="C151" s="221">
        <v>21</v>
      </c>
      <c r="D151" s="221" t="s">
        <v>118</v>
      </c>
      <c r="E151" s="221">
        <v>3</v>
      </c>
      <c r="F151" s="221">
        <v>3</v>
      </c>
      <c r="G151" s="221">
        <v>80.53</v>
      </c>
      <c r="H151" s="158">
        <f t="shared" si="34"/>
        <v>90</v>
      </c>
      <c r="I151" s="221">
        <f t="shared" si="28"/>
        <v>80.53</v>
      </c>
      <c r="J151" s="221">
        <v>21.66</v>
      </c>
      <c r="K151" s="248">
        <f>AB151</f>
        <v>6.72</v>
      </c>
      <c r="L151" s="260">
        <v>1</v>
      </c>
      <c r="M151" s="258">
        <f>$K$6*(I151*$AK$12+IF(J151&gt;30,30*$AK$13+IF(J151&gt;60,30*$AK$14+IF(J151&gt;120,60*$AK$15,(J151-60)*$AK$15),(J151-30)*$AK$14),J151*$AK$13)+$AK$17*K151+L151*$AK$18)</f>
        <v>1648972.5400800002</v>
      </c>
      <c r="N151" s="221" t="s">
        <v>39</v>
      </c>
      <c r="O151" s="258">
        <f t="shared" si="32"/>
        <v>1648972.5400800002</v>
      </c>
      <c r="P151" s="258">
        <f t="shared" si="29"/>
        <v>1236729.4050600003</v>
      </c>
      <c r="Q151" s="258">
        <f t="shared" si="30"/>
        <v>2114582.4813600001</v>
      </c>
      <c r="R151" s="258">
        <f t="shared" si="31"/>
        <v>1614582.4813600001</v>
      </c>
      <c r="S151" s="258">
        <f t="shared" si="33"/>
        <v>1614582.4813600001</v>
      </c>
      <c r="T151" s="221"/>
      <c r="U151" s="264">
        <v>21</v>
      </c>
      <c r="V151" s="296" t="s">
        <v>291</v>
      </c>
      <c r="W151" s="219" t="s">
        <v>291</v>
      </c>
      <c r="X151" s="219" t="s">
        <v>291</v>
      </c>
      <c r="Z151" s="80" t="str">
        <f>C151&amp;A151</f>
        <v>21B2</v>
      </c>
      <c r="AA151" s="81">
        <v>21</v>
      </c>
      <c r="AB151" s="212">
        <v>6.72</v>
      </c>
      <c r="AC151" s="213"/>
      <c r="AE151" s="153"/>
      <c r="AF151" s="153"/>
    </row>
    <row r="152" spans="1:35" ht="16.5" customHeight="1" x14ac:dyDescent="0.25">
      <c r="A152" s="247" t="s">
        <v>126</v>
      </c>
      <c r="B152" s="221">
        <v>38</v>
      </c>
      <c r="C152" s="221">
        <v>22</v>
      </c>
      <c r="D152" s="221" t="s">
        <v>119</v>
      </c>
      <c r="E152" s="221">
        <v>3</v>
      </c>
      <c r="F152" s="221">
        <v>3</v>
      </c>
      <c r="G152" s="221">
        <v>80.39</v>
      </c>
      <c r="H152" s="158">
        <f t="shared" si="34"/>
        <v>90</v>
      </c>
      <c r="I152" s="221">
        <f t="shared" si="28"/>
        <v>80.39</v>
      </c>
      <c r="J152" s="221">
        <v>21.66</v>
      </c>
      <c r="K152" s="248">
        <f>AB152</f>
        <v>5.79</v>
      </c>
      <c r="L152" s="248">
        <v>1</v>
      </c>
      <c r="M152" s="258">
        <f>$K$6*(I152*$AK$12+IF(J152&gt;30,30*$AK$13+IF(J152&gt;60,30*$AK$14+IF(J152&gt;120,60*$AK$15,(J152-60)*$AK$15),(J152-30)*$AK$14),J152*$AK$13)+$AK$17*K152+L152*$AK$18)</f>
        <v>1641383.6875</v>
      </c>
      <c r="N152" s="221" t="s">
        <v>39</v>
      </c>
      <c r="O152" s="258">
        <f t="shared" si="32"/>
        <v>1641383.6875</v>
      </c>
      <c r="P152" s="258">
        <f t="shared" si="29"/>
        <v>1231037.765625</v>
      </c>
      <c r="Q152" s="258">
        <f t="shared" si="30"/>
        <v>2104850.8125</v>
      </c>
      <c r="R152" s="258">
        <f t="shared" si="31"/>
        <v>1604850.8125</v>
      </c>
      <c r="S152" s="258">
        <f t="shared" si="33"/>
        <v>1604850.8125</v>
      </c>
      <c r="T152" s="221"/>
      <c r="U152" s="264">
        <v>22</v>
      </c>
      <c r="V152" s="296" t="s">
        <v>291</v>
      </c>
      <c r="W152" s="219" t="s">
        <v>291</v>
      </c>
      <c r="X152" s="219" t="s">
        <v>291</v>
      </c>
      <c r="Z152" s="80" t="str">
        <f>C152&amp;A152</f>
        <v>22B2</v>
      </c>
      <c r="AA152" s="81">
        <v>22</v>
      </c>
      <c r="AB152" s="212">
        <v>5.79</v>
      </c>
      <c r="AC152" s="213"/>
      <c r="AE152" s="153"/>
      <c r="AF152" s="153"/>
    </row>
    <row r="153" spans="1:35" ht="16.5" customHeight="1" x14ac:dyDescent="0.25">
      <c r="A153" s="247" t="s">
        <v>126</v>
      </c>
      <c r="B153" s="221">
        <v>38</v>
      </c>
      <c r="C153" s="221">
        <v>23</v>
      </c>
      <c r="D153" s="221" t="s">
        <v>120</v>
      </c>
      <c r="E153" s="221">
        <v>4</v>
      </c>
      <c r="F153" s="221">
        <v>4</v>
      </c>
      <c r="G153" s="221">
        <v>107.89</v>
      </c>
      <c r="H153" s="158">
        <f t="shared" si="34"/>
        <v>110</v>
      </c>
      <c r="I153" s="221">
        <f t="shared" si="28"/>
        <v>107.89</v>
      </c>
      <c r="J153" s="221">
        <v>8.4600000000000009</v>
      </c>
      <c r="K153" s="260">
        <f>AB153</f>
        <v>5.92</v>
      </c>
      <c r="L153" s="248">
        <v>1</v>
      </c>
      <c r="M153" s="258">
        <f>$K$6*(I153*$AK$12+IF(J153&gt;30,30*$AK$13+IF(J153&gt;60,30*$AK$14+IF(J153&gt;120,60*$AK$15,(J153-60)*$AK$15),(J153-30)*$AK$14),J153*$AK$13)+$AK$17*K153+L153*$AK$18)</f>
        <v>2068442.2912799998</v>
      </c>
      <c r="N153" s="221" t="s">
        <v>39</v>
      </c>
      <c r="O153" s="258">
        <f t="shared" si="32"/>
        <v>2068442.2912799998</v>
      </c>
      <c r="P153" s="258">
        <f t="shared" si="29"/>
        <v>1551331.7184599999</v>
      </c>
      <c r="Q153" s="258">
        <f t="shared" si="30"/>
        <v>2652495.2517599999</v>
      </c>
      <c r="R153" s="258">
        <f t="shared" si="31"/>
        <v>2152495.2517599999</v>
      </c>
      <c r="S153" s="258">
        <f t="shared" si="33"/>
        <v>2068442.2912799998</v>
      </c>
      <c r="T153" s="221"/>
      <c r="U153" s="264">
        <v>23</v>
      </c>
      <c r="V153" s="296" t="s">
        <v>291</v>
      </c>
      <c r="W153" s="219" t="s">
        <v>291</v>
      </c>
      <c r="X153" s="219" t="s">
        <v>291</v>
      </c>
      <c r="Z153" s="80" t="str">
        <f>C153&amp;A153</f>
        <v>23B2</v>
      </c>
      <c r="AA153" s="81">
        <v>23</v>
      </c>
      <c r="AB153" s="212">
        <v>5.92</v>
      </c>
      <c r="AC153" s="213"/>
      <c r="AE153" s="153"/>
      <c r="AF153" s="153"/>
    </row>
    <row r="154" spans="1:35" ht="16.5" customHeight="1" x14ac:dyDescent="0.25">
      <c r="A154" s="247" t="s">
        <v>126</v>
      </c>
      <c r="B154" s="221">
        <v>38</v>
      </c>
      <c r="C154" s="221">
        <v>24</v>
      </c>
      <c r="D154" s="221" t="s">
        <v>121</v>
      </c>
      <c r="E154" s="221">
        <v>4</v>
      </c>
      <c r="F154" s="221">
        <v>4</v>
      </c>
      <c r="G154" s="221">
        <v>108.04</v>
      </c>
      <c r="H154" s="158">
        <f t="shared" si="34"/>
        <v>110</v>
      </c>
      <c r="I154" s="221">
        <f t="shared" si="28"/>
        <v>108.04</v>
      </c>
      <c r="J154" s="221">
        <v>8.4600000000000009</v>
      </c>
      <c r="K154" s="248">
        <f>AB154</f>
        <v>5.46</v>
      </c>
      <c r="L154" s="260">
        <v>1</v>
      </c>
      <c r="M154" s="258">
        <f>$K$6*(I154*$AK$12+IF(J154&gt;30,30*$AK$13+IF(J154&gt;60,30*$AK$14+IF(J154&gt;120,60*$AK$15,(J154-60)*$AK$15),(J154-30)*$AK$14),J154*$AK$13)+$AK$17*K154+L154*$AK$18)</f>
        <v>2068659.6331200001</v>
      </c>
      <c r="N154" s="221" t="s">
        <v>39</v>
      </c>
      <c r="O154" s="258">
        <f t="shared" si="32"/>
        <v>2068659.6331200001</v>
      </c>
      <c r="P154" s="258">
        <f t="shared" si="29"/>
        <v>1551494.72484</v>
      </c>
      <c r="Q154" s="258">
        <f t="shared" si="30"/>
        <v>2652773.9630399998</v>
      </c>
      <c r="R154" s="258">
        <f t="shared" si="31"/>
        <v>2152773.9630399998</v>
      </c>
      <c r="S154" s="258">
        <f t="shared" si="33"/>
        <v>2068659.6331200001</v>
      </c>
      <c r="T154" s="221"/>
      <c r="U154" s="264">
        <v>24</v>
      </c>
      <c r="V154" s="296" t="s">
        <v>291</v>
      </c>
      <c r="W154" s="220" t="s">
        <v>291</v>
      </c>
      <c r="X154" s="219" t="s">
        <v>291</v>
      </c>
      <c r="Z154" s="80" t="str">
        <f>C154&amp;A154</f>
        <v>24B2</v>
      </c>
      <c r="AA154" s="81">
        <v>24</v>
      </c>
      <c r="AB154" s="212">
        <v>5.46</v>
      </c>
      <c r="AC154" s="213"/>
      <c r="AE154" s="153"/>
      <c r="AF154" s="153"/>
    </row>
    <row r="155" spans="1:35" ht="16.5" customHeight="1" x14ac:dyDescent="0.25">
      <c r="A155" s="247" t="s">
        <v>126</v>
      </c>
      <c r="B155" s="221">
        <v>38</v>
      </c>
      <c r="C155" s="221">
        <v>25</v>
      </c>
      <c r="D155" s="221" t="s">
        <v>122</v>
      </c>
      <c r="E155" s="221">
        <v>4</v>
      </c>
      <c r="F155" s="221">
        <v>3</v>
      </c>
      <c r="G155" s="221">
        <v>80.53</v>
      </c>
      <c r="H155" s="158">
        <f t="shared" si="34"/>
        <v>90</v>
      </c>
      <c r="I155" s="221">
        <f t="shared" si="28"/>
        <v>80.53</v>
      </c>
      <c r="J155" s="221">
        <v>14.39</v>
      </c>
      <c r="K155" s="248">
        <f>AB155</f>
        <v>5.6</v>
      </c>
      <c r="L155" s="260">
        <v>1</v>
      </c>
      <c r="M155" s="258">
        <f>$K$6*(I155*$AK$12+IF(J155&gt;30,30*$AK$13+IF(J155&gt;60,30*$AK$14+IF(J155&gt;120,60*$AK$15,(J155-60)*$AK$15),(J155-30)*$AK$14),J155*$AK$13)+$AK$17*K155+L155*$AK$18)</f>
        <v>1603385.0891400003</v>
      </c>
      <c r="N155" s="221" t="s">
        <v>39</v>
      </c>
      <c r="O155" s="258">
        <f t="shared" si="32"/>
        <v>1603385.0891400003</v>
      </c>
      <c r="P155" s="258">
        <f t="shared" si="29"/>
        <v>1202538.8168550003</v>
      </c>
      <c r="Q155" s="258">
        <f t="shared" si="30"/>
        <v>2056122.7903800001</v>
      </c>
      <c r="R155" s="258">
        <f t="shared" si="31"/>
        <v>1556122.7903800001</v>
      </c>
      <c r="S155" s="258">
        <f t="shared" si="33"/>
        <v>1556122.7903800001</v>
      </c>
      <c r="T155" s="221"/>
      <c r="U155" s="264">
        <v>25</v>
      </c>
      <c r="V155" s="296" t="s">
        <v>291</v>
      </c>
      <c r="W155" s="219" t="s">
        <v>291</v>
      </c>
      <c r="X155" s="219" t="s">
        <v>291</v>
      </c>
      <c r="Z155" s="80" t="str">
        <f>C155&amp;A155</f>
        <v>25B2</v>
      </c>
      <c r="AA155" s="81">
        <v>25</v>
      </c>
      <c r="AB155" s="212">
        <v>5.6</v>
      </c>
      <c r="AC155" s="213"/>
      <c r="AE155" s="153"/>
      <c r="AF155" s="153"/>
    </row>
    <row r="156" spans="1:35" ht="16.5" customHeight="1" x14ac:dyDescent="0.25">
      <c r="A156" s="247" t="s">
        <v>126</v>
      </c>
      <c r="B156" s="221">
        <v>38</v>
      </c>
      <c r="C156" s="221">
        <v>26</v>
      </c>
      <c r="D156" s="221" t="s">
        <v>123</v>
      </c>
      <c r="E156" s="221">
        <v>4</v>
      </c>
      <c r="F156" s="221">
        <v>3</v>
      </c>
      <c r="G156" s="221">
        <v>80.39</v>
      </c>
      <c r="H156" s="158">
        <f t="shared" si="34"/>
        <v>90</v>
      </c>
      <c r="I156" s="221">
        <f t="shared" si="28"/>
        <v>80.39</v>
      </c>
      <c r="J156" s="221">
        <v>14.39</v>
      </c>
      <c r="K156" s="260">
        <f>AB156</f>
        <v>10.7</v>
      </c>
      <c r="L156" s="260">
        <v>1</v>
      </c>
      <c r="M156" s="258">
        <f>$K$6*(I156*$AK$12+IF(J156&gt;30,30*$AK$13+IF(J156&gt;60,30*$AK$14+IF(J156&gt;120,60*$AK$15,(J156-60)*$AK$15),(J156-30)*$AK$14),J156*$AK$13)+$AK$17*K156+L156*$AK$18)</f>
        <v>1628560.5189399996</v>
      </c>
      <c r="N156" s="221" t="s">
        <v>39</v>
      </c>
      <c r="O156" s="258">
        <f t="shared" si="32"/>
        <v>1628560.5189399996</v>
      </c>
      <c r="P156" s="258">
        <f t="shared" si="29"/>
        <v>1221420.3892049997</v>
      </c>
      <c r="Q156" s="258">
        <f t="shared" si="30"/>
        <v>2088406.8469799997</v>
      </c>
      <c r="R156" s="258">
        <f t="shared" si="31"/>
        <v>1588406.8469799997</v>
      </c>
      <c r="S156" s="258">
        <f t="shared" si="33"/>
        <v>1588406.8469799997</v>
      </c>
      <c r="T156" s="221"/>
      <c r="U156" s="264">
        <v>26</v>
      </c>
      <c r="V156" s="296" t="s">
        <v>291</v>
      </c>
      <c r="W156" s="219" t="s">
        <v>291</v>
      </c>
      <c r="X156" s="219" t="s">
        <v>291</v>
      </c>
      <c r="Z156" s="80" t="str">
        <f>C156&amp;A156</f>
        <v>26B2</v>
      </c>
      <c r="AA156" s="81">
        <v>26</v>
      </c>
      <c r="AB156" s="212">
        <v>10.7</v>
      </c>
      <c r="AC156" s="213"/>
      <c r="AE156" s="153"/>
      <c r="AF156" s="153"/>
    </row>
    <row r="157" spans="1:35" ht="16.5" customHeight="1" x14ac:dyDescent="0.25">
      <c r="A157" s="247" t="s">
        <v>126</v>
      </c>
      <c r="B157" s="221">
        <v>38</v>
      </c>
      <c r="C157" s="221">
        <v>27</v>
      </c>
      <c r="D157" s="221" t="s">
        <v>124</v>
      </c>
      <c r="E157" s="221">
        <v>5</v>
      </c>
      <c r="F157" s="221">
        <v>6</v>
      </c>
      <c r="G157" s="221">
        <v>153.96</v>
      </c>
      <c r="H157" s="158">
        <f t="shared" si="34"/>
        <v>145</v>
      </c>
      <c r="I157" s="221">
        <f t="shared" si="28"/>
        <v>152.61600000000001</v>
      </c>
      <c r="J157" s="221">
        <v>66.459999999999994</v>
      </c>
      <c r="K157" s="265">
        <f>AB158</f>
        <v>8.7899999999999991</v>
      </c>
      <c r="L157" s="248">
        <v>1</v>
      </c>
      <c r="M157" s="258">
        <f>$K$6*(I157*$AK$12+IF(J157&gt;30,30*$AK$13+IF(J157&gt;60,30*$AK$14+IF(J157&gt;120,60*$AK$15,(J157-60)*$AK$15),(J157-30)*$AK$14),J157*$AK$13)+$AK$17*K157+L157*$AK$18)</f>
        <v>3131515.5661800001</v>
      </c>
      <c r="N157" s="221" t="s">
        <v>36</v>
      </c>
      <c r="O157" s="258">
        <f t="shared" si="32"/>
        <v>3131515.5661800001</v>
      </c>
      <c r="P157" s="258">
        <f t="shared" si="29"/>
        <v>2348636.6746350001</v>
      </c>
      <c r="Q157" s="258">
        <f t="shared" si="30"/>
        <v>4015741.8000599998</v>
      </c>
      <c r="R157" s="258">
        <f t="shared" si="31"/>
        <v>3515741.8000599998</v>
      </c>
      <c r="S157" s="258"/>
      <c r="T157" s="221"/>
      <c r="U157" s="264">
        <v>8</v>
      </c>
      <c r="V157" s="113"/>
      <c r="Z157" s="127" t="str">
        <f>C138&amp;A138</f>
        <v>8B2</v>
      </c>
      <c r="AA157" s="128">
        <v>27</v>
      </c>
      <c r="AB157" s="212">
        <v>7.47</v>
      </c>
      <c r="AC157" s="213"/>
      <c r="AE157" s="153"/>
      <c r="AF157" s="153"/>
    </row>
    <row r="158" spans="1:35" ht="16.5" customHeight="1" thickBot="1" x14ac:dyDescent="0.3">
      <c r="A158" s="250" t="s">
        <v>126</v>
      </c>
      <c r="B158" s="251">
        <v>38</v>
      </c>
      <c r="C158" s="251">
        <v>28</v>
      </c>
      <c r="D158" s="251" t="s">
        <v>125</v>
      </c>
      <c r="E158" s="251">
        <v>5</v>
      </c>
      <c r="F158" s="251">
        <v>5</v>
      </c>
      <c r="G158" s="251">
        <v>135.4</v>
      </c>
      <c r="H158" s="141">
        <f t="shared" si="34"/>
        <v>125</v>
      </c>
      <c r="I158" s="251">
        <f t="shared" si="28"/>
        <v>133.84</v>
      </c>
      <c r="J158" s="251">
        <v>57.2</v>
      </c>
      <c r="K158" s="267">
        <f>AB138</f>
        <v>16.239999999999998</v>
      </c>
      <c r="L158" s="252">
        <v>1</v>
      </c>
      <c r="M158" s="261">
        <f>$K$6*(I158*$AK$12+IF(J158&gt;30,30*$AK$13+IF(J158&gt;60,30*$AK$14+IF(J158&gt;120,60*$AK$15,(J158-60)*$AK$15),(J158-30)*$AK$14),J158*$AK$13)+$AK$17*K158+L158*$AK$18)</f>
        <v>2810085.0966399997</v>
      </c>
      <c r="N158" s="251" t="s">
        <v>36</v>
      </c>
      <c r="O158" s="261">
        <f t="shared" si="32"/>
        <v>2810085.0966399997</v>
      </c>
      <c r="P158" s="261">
        <f t="shared" si="29"/>
        <v>2107563.8224799996</v>
      </c>
      <c r="Q158" s="261">
        <f t="shared" si="30"/>
        <v>3603551.0428799996</v>
      </c>
      <c r="R158" s="261">
        <f t="shared" si="31"/>
        <v>3103551.0428799996</v>
      </c>
      <c r="S158" s="261"/>
      <c r="T158" s="251"/>
      <c r="U158" s="268">
        <v>28</v>
      </c>
      <c r="V158" s="113"/>
      <c r="Z158" s="86" t="str">
        <f>C157&amp;A157</f>
        <v>27B2</v>
      </c>
      <c r="AA158" s="87">
        <v>28</v>
      </c>
      <c r="AB158" s="214">
        <v>8.7899999999999991</v>
      </c>
      <c r="AC158" s="215"/>
      <c r="AE158" s="153"/>
      <c r="AF158" s="153"/>
    </row>
    <row r="159" spans="1:35" ht="16.5" customHeight="1" thickBot="1" x14ac:dyDescent="0.3">
      <c r="A159" s="231" t="s">
        <v>65</v>
      </c>
      <c r="B159" s="319"/>
      <c r="C159" s="319"/>
      <c r="D159" s="319"/>
      <c r="E159" s="319"/>
      <c r="F159" s="319"/>
      <c r="G159" s="154">
        <f>SUMIF(N131:N158,"כן",G131:G158)/COUNT(C131:C158)</f>
        <v>76.252142857142871</v>
      </c>
      <c r="H159" s="154"/>
      <c r="I159" s="154"/>
      <c r="J159" s="155"/>
      <c r="K159" s="227" t="s">
        <v>66</v>
      </c>
      <c r="L159" s="227"/>
      <c r="M159" s="227"/>
      <c r="N159" s="156">
        <f>COUNTIF(N131:N158,"כן")/COUNT(C131:C158)</f>
        <v>0.7142857142857143</v>
      </c>
      <c r="O159" s="156"/>
      <c r="P159" s="156"/>
      <c r="Q159" s="156"/>
      <c r="R159" s="156"/>
      <c r="S159" s="156"/>
      <c r="T159" s="157"/>
      <c r="U159" s="299"/>
      <c r="V159" s="113"/>
      <c r="AA159" s="153"/>
      <c r="AB159" s="153"/>
      <c r="AE159" s="153"/>
      <c r="AF159" s="153"/>
    </row>
    <row r="160" spans="1:35" ht="16.5" customHeight="1" x14ac:dyDescent="0.25">
      <c r="A160" s="243" t="s">
        <v>130</v>
      </c>
      <c r="B160" s="244">
        <v>39</v>
      </c>
      <c r="C160" s="244">
        <v>1</v>
      </c>
      <c r="D160" s="244" t="s">
        <v>131</v>
      </c>
      <c r="E160" s="244" t="s">
        <v>132</v>
      </c>
      <c r="F160" s="244">
        <v>6</v>
      </c>
      <c r="G160" s="244">
        <v>176.51</v>
      </c>
      <c r="H160" s="162">
        <f t="shared" si="34"/>
        <v>145</v>
      </c>
      <c r="I160" s="244">
        <f t="shared" ref="I160:I187" si="35">IF(G160&gt;H160,(G160-H160)*$AL$12+H160,G160)</f>
        <v>171.7835</v>
      </c>
      <c r="J160" s="244">
        <v>197.05</v>
      </c>
      <c r="K160" s="269">
        <f>AB160</f>
        <v>11.42</v>
      </c>
      <c r="L160" s="276">
        <v>1</v>
      </c>
      <c r="M160" s="256">
        <f>$K$6*(I160*$AK$12+IF(J160&gt;30,30*$AK$13+IF(J160&gt;60,30*$AK$14+IF(J160&gt;120,60*$AK$15,(J160-60)*$AK$15),(J160-30)*$AK$14),J160*$AK$13)+$AK$17*K160+L160*$AK$18)</f>
        <v>3589934.7862899997</v>
      </c>
      <c r="N160" s="244" t="s">
        <v>36</v>
      </c>
      <c r="O160" s="256">
        <f>M160</f>
        <v>3589934.7862899997</v>
      </c>
      <c r="P160" s="256">
        <f t="shared" ref="P160:P187" si="36">O160*(1-$AK$19)</f>
        <v>2692451.0897174999</v>
      </c>
      <c r="Q160" s="256">
        <f t="shared" ref="Q160:Q187" si="37">$AK$22*(I160*$AK$12+IF(J160&gt;30,30*$AK$13+IF(J160&gt;60,30*$AK$14+IF(J160&gt;120,60*$AK$15,(J160-60)*$AK$15),(J160-30)*$AK$14),J160*$AK$13)+$AK$17*K160+L160*$AK$18)</f>
        <v>4603601.9544299999</v>
      </c>
      <c r="R160" s="256">
        <f t="shared" ref="R160:R187" si="38">Q160-$AK$20</f>
        <v>4103601.9544299999</v>
      </c>
      <c r="S160" s="256"/>
      <c r="T160" s="244"/>
      <c r="U160" s="263">
        <v>1</v>
      </c>
      <c r="V160" s="113"/>
      <c r="Z160" s="76" t="str">
        <f>C160&amp;A160</f>
        <v>1C1</v>
      </c>
      <c r="AA160" s="77">
        <v>1</v>
      </c>
      <c r="AB160" s="78">
        <v>11.42</v>
      </c>
      <c r="AC160" s="79"/>
      <c r="AE160" s="153"/>
      <c r="AF160" s="153"/>
      <c r="AI160" s="153"/>
    </row>
    <row r="161" spans="1:33" ht="16.5" customHeight="1" x14ac:dyDescent="0.25">
      <c r="A161" s="247" t="s">
        <v>130</v>
      </c>
      <c r="B161" s="221">
        <v>39</v>
      </c>
      <c r="C161" s="221">
        <v>2</v>
      </c>
      <c r="D161" s="221" t="s">
        <v>133</v>
      </c>
      <c r="E161" s="221" t="s">
        <v>132</v>
      </c>
      <c r="F161" s="221">
        <v>5</v>
      </c>
      <c r="G161" s="221">
        <v>155.57</v>
      </c>
      <c r="H161" s="158">
        <f t="shared" si="34"/>
        <v>125</v>
      </c>
      <c r="I161" s="221">
        <v>155.57</v>
      </c>
      <c r="J161" s="221">
        <f>49.81+22.88+15.75</f>
        <v>88.44</v>
      </c>
      <c r="K161" s="281">
        <f>AB161</f>
        <v>9.14</v>
      </c>
      <c r="L161" s="248">
        <v>1</v>
      </c>
      <c r="M161" s="258">
        <f>$K$6*(I161*$AK$12+IF(J161&gt;30,30*$AK$13+IF(J161&gt;60,30*$AK$14+IF(J161&gt;120,60*$AK$15,(J161-60)*$AK$15),(J161-30)*$AK$14),J161*$AK$13)+$AK$17*K161+L161*$AK$18)</f>
        <v>3226729.4039199995</v>
      </c>
      <c r="N161" s="221" t="s">
        <v>36</v>
      </c>
      <c r="O161" s="258">
        <f>M161</f>
        <v>3226729.4039199995</v>
      </c>
      <c r="P161" s="258">
        <f t="shared" si="36"/>
        <v>2420047.0529399998</v>
      </c>
      <c r="Q161" s="258">
        <f t="shared" si="37"/>
        <v>4137840.5666399994</v>
      </c>
      <c r="R161" s="258">
        <f t="shared" si="38"/>
        <v>3637840.5666399994</v>
      </c>
      <c r="S161" s="258"/>
      <c r="T161" s="221"/>
      <c r="U161" s="264">
        <v>2</v>
      </c>
      <c r="V161" s="113"/>
      <c r="Z161" s="80" t="str">
        <f>C161&amp;A161</f>
        <v>2C1</v>
      </c>
      <c r="AA161" s="81">
        <v>2</v>
      </c>
      <c r="AB161" s="82">
        <v>9.14</v>
      </c>
      <c r="AC161" s="83"/>
      <c r="AE161" s="153"/>
      <c r="AF161" s="153"/>
      <c r="AG161" s="113"/>
    </row>
    <row r="162" spans="1:33" ht="16.5" customHeight="1" x14ac:dyDescent="0.25">
      <c r="A162" s="247" t="s">
        <v>130</v>
      </c>
      <c r="B162" s="221">
        <v>39</v>
      </c>
      <c r="C162" s="221">
        <v>3</v>
      </c>
      <c r="D162" s="221" t="s">
        <v>134</v>
      </c>
      <c r="E162" s="221">
        <v>-2</v>
      </c>
      <c r="F162" s="221">
        <v>4</v>
      </c>
      <c r="G162" s="221">
        <v>104.02</v>
      </c>
      <c r="H162" s="158">
        <f t="shared" si="34"/>
        <v>110</v>
      </c>
      <c r="I162" s="221">
        <f t="shared" si="35"/>
        <v>104.02</v>
      </c>
      <c r="J162" s="221">
        <v>26.9</v>
      </c>
      <c r="K162" s="265">
        <f>AB184</f>
        <v>9.1300000000000008</v>
      </c>
      <c r="L162" s="248">
        <v>1</v>
      </c>
      <c r="M162" s="258">
        <f>$K$6*(I162*$AK$12+IF(J162&gt;30,30*$AK$13+IF(J162&gt;60,30*$AK$14+IF(J162&gt;120,60*$AK$15,(J162-60)*$AK$15),(J162-30)*$AK$14),J162*$AK$13)+$AK$17*K162+L162*$AK$18)</f>
        <v>2115985.8187799999</v>
      </c>
      <c r="N162" s="221" t="s">
        <v>39</v>
      </c>
      <c r="O162" s="258">
        <f t="shared" ref="O162:O187" si="39">M162</f>
        <v>2115985.8187799999</v>
      </c>
      <c r="P162" s="258">
        <f t="shared" si="36"/>
        <v>1586989.364085</v>
      </c>
      <c r="Q162" s="258">
        <f t="shared" si="37"/>
        <v>2713463.3442599997</v>
      </c>
      <c r="R162" s="258">
        <f t="shared" si="38"/>
        <v>2213463.3442599997</v>
      </c>
      <c r="S162" s="258">
        <f t="shared" si="33"/>
        <v>2115985.8187799999</v>
      </c>
      <c r="T162" s="221"/>
      <c r="U162" s="259">
        <v>25</v>
      </c>
      <c r="V162" s="113" t="s">
        <v>291</v>
      </c>
      <c r="W162" t="s">
        <v>291</v>
      </c>
      <c r="X162" t="s">
        <v>291</v>
      </c>
      <c r="Z162" s="127" t="s">
        <v>250</v>
      </c>
      <c r="AA162" s="128">
        <v>3</v>
      </c>
      <c r="AB162" s="82">
        <v>12.17</v>
      </c>
      <c r="AC162" s="84"/>
      <c r="AE162" s="153"/>
      <c r="AF162" s="153"/>
      <c r="AG162" s="114"/>
    </row>
    <row r="163" spans="1:33" ht="16.5" customHeight="1" x14ac:dyDescent="0.25">
      <c r="A163" s="247" t="s">
        <v>130</v>
      </c>
      <c r="B163" s="221">
        <v>39</v>
      </c>
      <c r="C163" s="221">
        <v>4</v>
      </c>
      <c r="D163" s="221" t="s">
        <v>135</v>
      </c>
      <c r="E163" s="221">
        <v>-2</v>
      </c>
      <c r="F163" s="221">
        <v>4</v>
      </c>
      <c r="G163" s="249">
        <v>104.06</v>
      </c>
      <c r="H163" s="158">
        <f t="shared" si="34"/>
        <v>110</v>
      </c>
      <c r="I163" s="249">
        <f t="shared" si="35"/>
        <v>104.06</v>
      </c>
      <c r="J163" s="221">
        <v>29.23</v>
      </c>
      <c r="K163" s="266">
        <f>AB163</f>
        <v>6.75</v>
      </c>
      <c r="L163" s="260">
        <v>1</v>
      </c>
      <c r="M163" s="258">
        <f>$K$6*(I163*$AK$12+IF(J163&gt;30,30*$AK$13+IF(J163&gt;60,30*$AK$14+IF(J163&gt;120,60*$AK$15,(J163-60)*$AK$15),(J163-30)*$AK$14),J163*$AK$13)+$AK$17*K163+L163*$AK$18)</f>
        <v>2116438.6142800003</v>
      </c>
      <c r="N163" s="221" t="s">
        <v>39</v>
      </c>
      <c r="O163" s="258">
        <f t="shared" si="39"/>
        <v>2116438.6142800003</v>
      </c>
      <c r="P163" s="258">
        <f t="shared" si="36"/>
        <v>1587328.9607100002</v>
      </c>
      <c r="Q163" s="258">
        <f t="shared" si="37"/>
        <v>2714043.9927600003</v>
      </c>
      <c r="R163" s="258">
        <f t="shared" si="38"/>
        <v>2214043.9927600003</v>
      </c>
      <c r="S163" s="258">
        <f t="shared" si="33"/>
        <v>2116438.6142800003</v>
      </c>
      <c r="T163" s="221"/>
      <c r="U163" s="264">
        <v>4</v>
      </c>
      <c r="V163" s="113" t="s">
        <v>291</v>
      </c>
      <c r="W163" t="s">
        <v>291</v>
      </c>
      <c r="X163" t="s">
        <v>291</v>
      </c>
      <c r="Z163" s="80" t="str">
        <f>C163&amp;A163</f>
        <v>4C1</v>
      </c>
      <c r="AA163" s="81">
        <v>4</v>
      </c>
      <c r="AB163" s="82">
        <v>6.75</v>
      </c>
      <c r="AC163" s="84"/>
      <c r="AE163" s="153"/>
      <c r="AF163" s="153"/>
      <c r="AG163" s="114"/>
    </row>
    <row r="164" spans="1:33" ht="16.5" customHeight="1" x14ac:dyDescent="0.25">
      <c r="A164" s="247" t="s">
        <v>130</v>
      </c>
      <c r="B164" s="221">
        <v>39</v>
      </c>
      <c r="C164" s="221">
        <v>5</v>
      </c>
      <c r="D164" s="221" t="s">
        <v>136</v>
      </c>
      <c r="E164" s="221">
        <v>-1</v>
      </c>
      <c r="F164" s="221">
        <v>4</v>
      </c>
      <c r="G164" s="221">
        <v>104.02</v>
      </c>
      <c r="H164" s="158">
        <f t="shared" si="34"/>
        <v>110</v>
      </c>
      <c r="I164" s="221">
        <f t="shared" si="35"/>
        <v>104.02</v>
      </c>
      <c r="J164" s="221">
        <v>19.760000000000002</v>
      </c>
      <c r="K164" s="248">
        <f>AB164</f>
        <v>6.3</v>
      </c>
      <c r="L164" s="260">
        <v>1</v>
      </c>
      <c r="M164" s="258">
        <f>$K$6*(I164*$AK$12+IF(J164&gt;30,30*$AK$13+IF(J164&gt;60,30*$AK$14+IF(J164&gt;120,60*$AK$15,(J164-60)*$AK$15),(J164-30)*$AK$14),J164*$AK$13)+$AK$17*K164+L164*$AK$18)</f>
        <v>2061813.3651599998</v>
      </c>
      <c r="N164" s="221" t="s">
        <v>39</v>
      </c>
      <c r="O164" s="258">
        <f t="shared" si="39"/>
        <v>2061813.3651599998</v>
      </c>
      <c r="P164" s="258">
        <f t="shared" si="36"/>
        <v>1546360.0238699999</v>
      </c>
      <c r="Q164" s="258">
        <f t="shared" si="37"/>
        <v>2643994.5577199999</v>
      </c>
      <c r="R164" s="258">
        <f t="shared" si="38"/>
        <v>2143994.5577199999</v>
      </c>
      <c r="S164" s="258">
        <f t="shared" si="33"/>
        <v>2061813.3651599998</v>
      </c>
      <c r="T164" s="221"/>
      <c r="U164" s="264">
        <v>5</v>
      </c>
      <c r="V164" s="113" t="s">
        <v>291</v>
      </c>
      <c r="W164" t="s">
        <v>291</v>
      </c>
      <c r="X164" t="s">
        <v>291</v>
      </c>
      <c r="Z164" s="80" t="str">
        <f>C164&amp;A164</f>
        <v>5C1</v>
      </c>
      <c r="AA164" s="81">
        <v>5</v>
      </c>
      <c r="AB164" s="82">
        <v>6.3</v>
      </c>
      <c r="AC164" s="84"/>
      <c r="AE164" s="153"/>
      <c r="AF164" s="153"/>
      <c r="AG164" s="114"/>
    </row>
    <row r="165" spans="1:33" ht="16.5" customHeight="1" x14ac:dyDescent="0.25">
      <c r="A165" s="247" t="s">
        <v>130</v>
      </c>
      <c r="B165" s="221">
        <v>39</v>
      </c>
      <c r="C165" s="221">
        <v>6</v>
      </c>
      <c r="D165" s="221" t="s">
        <v>137</v>
      </c>
      <c r="E165" s="221">
        <v>-1</v>
      </c>
      <c r="F165" s="221">
        <v>4</v>
      </c>
      <c r="G165" s="249">
        <v>104.06</v>
      </c>
      <c r="H165" s="158">
        <f t="shared" si="34"/>
        <v>110</v>
      </c>
      <c r="I165" s="249">
        <f t="shared" si="35"/>
        <v>104.06</v>
      </c>
      <c r="J165" s="221">
        <v>23.38</v>
      </c>
      <c r="K165" s="248">
        <f>AB165</f>
        <v>6.86</v>
      </c>
      <c r="L165" s="260">
        <v>1</v>
      </c>
      <c r="M165" s="258">
        <f>$K$6*(I165*$AK$12+IF(J165&gt;30,30*$AK$13+IF(J165&gt;60,30*$AK$14+IF(J165&gt;120,60*$AK$15,(J165-60)*$AK$15),(J165-30)*$AK$14),J165*$AK$13)+$AK$17*K165+L165*$AK$18)</f>
        <v>2085250.06024</v>
      </c>
      <c r="N165" s="221" t="s">
        <v>39</v>
      </c>
      <c r="O165" s="258">
        <f t="shared" si="39"/>
        <v>2085250.06024</v>
      </c>
      <c r="P165" s="258">
        <f t="shared" si="36"/>
        <v>1563937.5451799999</v>
      </c>
      <c r="Q165" s="258">
        <f t="shared" si="37"/>
        <v>2674048.9240799998</v>
      </c>
      <c r="R165" s="258">
        <f t="shared" si="38"/>
        <v>2174048.9240799998</v>
      </c>
      <c r="S165" s="258">
        <f t="shared" si="33"/>
        <v>2085250.06024</v>
      </c>
      <c r="T165" s="221"/>
      <c r="U165" s="264">
        <v>6</v>
      </c>
      <c r="V165" s="113" t="s">
        <v>291</v>
      </c>
      <c r="W165" t="s">
        <v>291</v>
      </c>
      <c r="X165" t="s">
        <v>291</v>
      </c>
      <c r="Z165" s="80" t="str">
        <f>C165&amp;A165</f>
        <v>6C1</v>
      </c>
      <c r="AA165" s="81">
        <v>6</v>
      </c>
      <c r="AB165" s="82">
        <v>6.86</v>
      </c>
      <c r="AC165" s="84"/>
      <c r="AE165" s="153"/>
      <c r="AF165" s="153"/>
      <c r="AG165" s="114"/>
    </row>
    <row r="166" spans="1:33" ht="16.5" customHeight="1" x14ac:dyDescent="0.25">
      <c r="A166" s="247" t="s">
        <v>130</v>
      </c>
      <c r="B166" s="221">
        <v>39</v>
      </c>
      <c r="C166" s="221">
        <v>7</v>
      </c>
      <c r="D166" s="221" t="s">
        <v>138</v>
      </c>
      <c r="E166" s="221">
        <v>0</v>
      </c>
      <c r="F166" s="221">
        <v>4</v>
      </c>
      <c r="G166" s="221">
        <v>104.02</v>
      </c>
      <c r="H166" s="158">
        <f t="shared" si="34"/>
        <v>110</v>
      </c>
      <c r="I166" s="221">
        <f t="shared" si="35"/>
        <v>104.02</v>
      </c>
      <c r="J166" s="221">
        <v>20.149999999999999</v>
      </c>
      <c r="K166" s="260">
        <f>AB166</f>
        <v>6.86</v>
      </c>
      <c r="L166" s="248">
        <v>1</v>
      </c>
      <c r="M166" s="258">
        <f>$K$6*(I166*$AK$12+IF(J166&gt;30,30*$AK$13+IF(J166&gt;60,30*$AK$14+IF(J166&gt;120,60*$AK$15,(J166-60)*$AK$15),(J166-30)*$AK$14),J166*$AK$13)+$AK$17*K166+L166*$AK$18)</f>
        <v>2066975.2338599998</v>
      </c>
      <c r="N166" s="221" t="s">
        <v>39</v>
      </c>
      <c r="O166" s="258">
        <f t="shared" si="39"/>
        <v>2066975.2338599998</v>
      </c>
      <c r="P166" s="258">
        <f t="shared" si="36"/>
        <v>1550231.4253949998</v>
      </c>
      <c r="Q166" s="258">
        <f t="shared" si="37"/>
        <v>2650613.9506199998</v>
      </c>
      <c r="R166" s="258">
        <f t="shared" si="38"/>
        <v>2150613.9506199998</v>
      </c>
      <c r="S166" s="258">
        <f t="shared" si="33"/>
        <v>2066975.2338599998</v>
      </c>
      <c r="T166" s="221"/>
      <c r="U166" s="264">
        <v>7</v>
      </c>
      <c r="V166" s="113" t="s">
        <v>291</v>
      </c>
      <c r="W166" t="s">
        <v>291</v>
      </c>
      <c r="X166" t="s">
        <v>291</v>
      </c>
      <c r="Z166" s="80" t="str">
        <f>C166&amp;A166</f>
        <v>7C1</v>
      </c>
      <c r="AA166" s="81">
        <v>7</v>
      </c>
      <c r="AB166" s="82">
        <v>6.86</v>
      </c>
      <c r="AC166" s="84"/>
      <c r="AE166" s="153"/>
      <c r="AF166" s="153"/>
      <c r="AG166" s="114"/>
    </row>
    <row r="167" spans="1:33" ht="16.5" customHeight="1" x14ac:dyDescent="0.25">
      <c r="A167" s="247" t="s">
        <v>130</v>
      </c>
      <c r="B167" s="221">
        <v>39</v>
      </c>
      <c r="C167" s="221">
        <v>8</v>
      </c>
      <c r="D167" s="221" t="s">
        <v>139</v>
      </c>
      <c r="E167" s="221">
        <v>0</v>
      </c>
      <c r="F167" s="221">
        <v>4</v>
      </c>
      <c r="G167" s="249">
        <v>104.06</v>
      </c>
      <c r="H167" s="158">
        <f t="shared" si="34"/>
        <v>110</v>
      </c>
      <c r="I167" s="249">
        <f t="shared" si="35"/>
        <v>104.06</v>
      </c>
      <c r="J167" s="221">
        <v>20.65</v>
      </c>
      <c r="K167" s="248">
        <f>AB167</f>
        <v>6.16</v>
      </c>
      <c r="L167" s="248">
        <v>1</v>
      </c>
      <c r="M167" s="258">
        <f>$K$6*(I167*$AK$12+IF(J167&gt;30,30*$AK$13+IF(J167&gt;60,30*$AK$14+IF(J167&gt;120,60*$AK$15,(J167-60)*$AK$15),(J167-30)*$AK$14),J167*$AK$13)+$AK$17*K167+L167*$AK$18)</f>
        <v>2066612.9974599998</v>
      </c>
      <c r="N167" s="221" t="s">
        <v>39</v>
      </c>
      <c r="O167" s="258">
        <f t="shared" si="39"/>
        <v>2066612.9974599998</v>
      </c>
      <c r="P167" s="258">
        <f t="shared" si="36"/>
        <v>1549959.7480949997</v>
      </c>
      <c r="Q167" s="258">
        <f t="shared" si="37"/>
        <v>2650149.4318199996</v>
      </c>
      <c r="R167" s="258">
        <f t="shared" si="38"/>
        <v>2150149.4318199996</v>
      </c>
      <c r="S167" s="258">
        <f t="shared" si="33"/>
        <v>2066612.9974599998</v>
      </c>
      <c r="T167" s="221"/>
      <c r="U167" s="264">
        <v>8</v>
      </c>
      <c r="V167" s="113" t="s">
        <v>291</v>
      </c>
      <c r="W167" t="s">
        <v>291</v>
      </c>
      <c r="X167" t="s">
        <v>291</v>
      </c>
      <c r="Z167" s="80" t="str">
        <f>C167&amp;A167</f>
        <v>8C1</v>
      </c>
      <c r="AA167" s="81">
        <v>8</v>
      </c>
      <c r="AB167" s="82">
        <v>6.16</v>
      </c>
      <c r="AC167" s="84"/>
      <c r="AE167" s="153"/>
      <c r="AF167" s="153"/>
      <c r="AG167" s="114"/>
    </row>
    <row r="168" spans="1:33" ht="16.5" customHeight="1" x14ac:dyDescent="0.25">
      <c r="A168" s="247" t="s">
        <v>130</v>
      </c>
      <c r="B168" s="221">
        <v>39</v>
      </c>
      <c r="C168" s="221">
        <v>9</v>
      </c>
      <c r="D168" s="221" t="s">
        <v>140</v>
      </c>
      <c r="E168" s="221">
        <v>1</v>
      </c>
      <c r="F168" s="221">
        <v>4</v>
      </c>
      <c r="G168" s="221">
        <v>104.02</v>
      </c>
      <c r="H168" s="158">
        <f t="shared" si="34"/>
        <v>110</v>
      </c>
      <c r="I168" s="221">
        <f t="shared" si="35"/>
        <v>104.02</v>
      </c>
      <c r="J168" s="221">
        <v>20.27</v>
      </c>
      <c r="K168" s="248">
        <f>AB168</f>
        <v>6.44</v>
      </c>
      <c r="L168" s="260">
        <v>1</v>
      </c>
      <c r="M168" s="258">
        <f>$K$6*(I168*$AK$12+IF(J168&gt;30,30*$AK$13+IF(J168&gt;60,30*$AK$14+IF(J168&gt;120,60*$AK$15,(J168-60)*$AK$15),(J168-30)*$AK$14),J168*$AK$13)+$AK$17*K168+L168*$AK$18)</f>
        <v>2065345.1700599999</v>
      </c>
      <c r="N168" s="221" t="s">
        <v>39</v>
      </c>
      <c r="O168" s="258">
        <f t="shared" si="39"/>
        <v>2065345.1700599999</v>
      </c>
      <c r="P168" s="258">
        <f t="shared" si="36"/>
        <v>1549008.8775450001</v>
      </c>
      <c r="Q168" s="258">
        <f t="shared" si="37"/>
        <v>2648523.6160200001</v>
      </c>
      <c r="R168" s="258">
        <f t="shared" si="38"/>
        <v>2148523.6160200001</v>
      </c>
      <c r="S168" s="258">
        <f>IF(R168&lt;P168,P168,MIN(R168,O168))</f>
        <v>2065345.1700599999</v>
      </c>
      <c r="T168" s="221"/>
      <c r="U168" s="264">
        <v>9</v>
      </c>
      <c r="V168" s="113" t="s">
        <v>291</v>
      </c>
      <c r="W168" t="s">
        <v>291</v>
      </c>
      <c r="X168" t="s">
        <v>291</v>
      </c>
      <c r="Z168" s="80" t="str">
        <f>C168&amp;A168</f>
        <v>9C1</v>
      </c>
      <c r="AA168" s="81">
        <v>9</v>
      </c>
      <c r="AB168" s="82">
        <v>6.44</v>
      </c>
      <c r="AC168" s="84"/>
      <c r="AE168" s="153"/>
      <c r="AF168" s="153"/>
      <c r="AG168" s="114"/>
    </row>
    <row r="169" spans="1:33" ht="16.5" customHeight="1" x14ac:dyDescent="0.25">
      <c r="A169" s="247" t="s">
        <v>130</v>
      </c>
      <c r="B169" s="221">
        <v>39</v>
      </c>
      <c r="C169" s="221">
        <v>10</v>
      </c>
      <c r="D169" s="221" t="s">
        <v>141</v>
      </c>
      <c r="E169" s="221">
        <v>1</v>
      </c>
      <c r="F169" s="221">
        <v>4</v>
      </c>
      <c r="G169" s="249">
        <v>104.06</v>
      </c>
      <c r="H169" s="158">
        <f t="shared" si="34"/>
        <v>110</v>
      </c>
      <c r="I169" s="249">
        <f t="shared" si="35"/>
        <v>104.06</v>
      </c>
      <c r="J169" s="221">
        <v>25.09</v>
      </c>
      <c r="K169" s="260">
        <f>AB169</f>
        <v>5.32</v>
      </c>
      <c r="L169" s="260">
        <v>1</v>
      </c>
      <c r="M169" s="258">
        <f>$K$6*(I169*$AK$12+IF(J169&gt;30,30*$AK$13+IF(J169&gt;60,30*$AK$14+IF(J169&gt;120,60*$AK$15,(J169-60)*$AK$15),(J169-30)*$AK$14),J169*$AK$13)+$AK$17*K169+L169*$AK$18)</f>
        <v>2086173.76306</v>
      </c>
      <c r="N169" s="221" t="s">
        <v>39</v>
      </c>
      <c r="O169" s="258">
        <f t="shared" si="39"/>
        <v>2086173.76306</v>
      </c>
      <c r="P169" s="258">
        <f t="shared" si="36"/>
        <v>1564630.3222950001</v>
      </c>
      <c r="Q169" s="258">
        <f t="shared" si="37"/>
        <v>2675233.4470199998</v>
      </c>
      <c r="R169" s="258">
        <f t="shared" si="38"/>
        <v>2175233.4470199998</v>
      </c>
      <c r="S169" s="258">
        <f t="shared" si="33"/>
        <v>2086173.76306</v>
      </c>
      <c r="T169" s="221"/>
      <c r="U169" s="264">
        <v>10</v>
      </c>
      <c r="V169" s="113" t="s">
        <v>291</v>
      </c>
      <c r="W169" t="s">
        <v>291</v>
      </c>
      <c r="X169" t="s">
        <v>291</v>
      </c>
      <c r="Z169" s="80" t="str">
        <f>C169&amp;A169</f>
        <v>10C1</v>
      </c>
      <c r="AA169" s="81">
        <v>10</v>
      </c>
      <c r="AB169" s="82">
        <v>5.32</v>
      </c>
      <c r="AC169" s="84"/>
      <c r="AE169" s="153"/>
      <c r="AF169" s="153"/>
      <c r="AG169" s="114"/>
    </row>
    <row r="170" spans="1:33" ht="16.5" customHeight="1" x14ac:dyDescent="0.25">
      <c r="A170" s="247" t="s">
        <v>130</v>
      </c>
      <c r="B170" s="221">
        <v>39</v>
      </c>
      <c r="C170" s="221">
        <v>11</v>
      </c>
      <c r="D170" s="221" t="s">
        <v>142</v>
      </c>
      <c r="E170" s="221">
        <v>1</v>
      </c>
      <c r="F170" s="221">
        <v>4</v>
      </c>
      <c r="G170" s="221">
        <v>104.02</v>
      </c>
      <c r="H170" s="158">
        <f t="shared" si="34"/>
        <v>110</v>
      </c>
      <c r="I170" s="221">
        <f t="shared" si="35"/>
        <v>104.02</v>
      </c>
      <c r="J170" s="221">
        <v>23.75</v>
      </c>
      <c r="K170" s="248">
        <f>AB170</f>
        <v>5.6</v>
      </c>
      <c r="L170" s="260">
        <v>1</v>
      </c>
      <c r="M170" s="258">
        <f>$K$6*(I170*$AK$12+IF(J170&gt;30,30*$AK$13+IF(J170&gt;60,30*$AK$14+IF(J170&gt;120,60*$AK$15,(J170-60)*$AK$15),(J170-30)*$AK$14),J170*$AK$13)+$AK$17*K170+L170*$AK$18)</f>
        <v>2079689.7315</v>
      </c>
      <c r="N170" s="221" t="s">
        <v>39</v>
      </c>
      <c r="O170" s="258">
        <f t="shared" si="39"/>
        <v>2079689.7315</v>
      </c>
      <c r="P170" s="258">
        <f t="shared" si="36"/>
        <v>1559767.2986250001</v>
      </c>
      <c r="Q170" s="258">
        <f t="shared" si="37"/>
        <v>2666918.5605000001</v>
      </c>
      <c r="R170" s="258">
        <f t="shared" si="38"/>
        <v>2166918.5605000001</v>
      </c>
      <c r="S170" s="258">
        <f t="shared" si="33"/>
        <v>2079689.7315</v>
      </c>
      <c r="T170" s="221"/>
      <c r="U170" s="264">
        <v>11</v>
      </c>
      <c r="V170" s="113" t="s">
        <v>291</v>
      </c>
      <c r="W170" t="s">
        <v>291</v>
      </c>
      <c r="X170" t="s">
        <v>291</v>
      </c>
      <c r="Z170" s="80" t="str">
        <f>C170&amp;A170</f>
        <v>11C1</v>
      </c>
      <c r="AA170" s="81">
        <v>11</v>
      </c>
      <c r="AB170" s="82">
        <v>5.6</v>
      </c>
      <c r="AC170" s="84"/>
      <c r="AE170" s="153"/>
      <c r="AF170" s="153"/>
      <c r="AG170" s="114"/>
    </row>
    <row r="171" spans="1:33" ht="16.5" customHeight="1" x14ac:dyDescent="0.25">
      <c r="A171" s="247" t="s">
        <v>130</v>
      </c>
      <c r="B171" s="221">
        <v>39</v>
      </c>
      <c r="C171" s="221">
        <v>12</v>
      </c>
      <c r="D171" s="221" t="s">
        <v>143</v>
      </c>
      <c r="E171" s="221">
        <v>1</v>
      </c>
      <c r="F171" s="221">
        <v>4</v>
      </c>
      <c r="G171" s="249">
        <v>104.06</v>
      </c>
      <c r="H171" s="158">
        <f t="shared" si="34"/>
        <v>110</v>
      </c>
      <c r="I171" s="249">
        <f t="shared" si="35"/>
        <v>104.06</v>
      </c>
      <c r="J171" s="221">
        <f>22.73+12.46</f>
        <v>35.19</v>
      </c>
      <c r="K171" s="248">
        <f>AB171</f>
        <v>5.6</v>
      </c>
      <c r="L171" s="248">
        <v>1</v>
      </c>
      <c r="M171" s="258">
        <f>$K$6*(I171*$AK$12+IF(J171&gt;30,30*$AK$13+IF(J171&gt;60,30*$AK$14+IF(J171&gt;120,60*$AK$15,(J171-60)*$AK$15),(J171-30)*$AK$14),J171*$AK$13)+$AK$17*K171+L171*$AK$18)</f>
        <v>2133173.9359599999</v>
      </c>
      <c r="N171" s="221" t="s">
        <v>39</v>
      </c>
      <c r="O171" s="258">
        <f t="shared" si="39"/>
        <v>2133173.9359599999</v>
      </c>
      <c r="P171" s="258">
        <f t="shared" si="36"/>
        <v>1599880.4519699998</v>
      </c>
      <c r="Q171" s="258">
        <f t="shared" si="37"/>
        <v>2735504.76132</v>
      </c>
      <c r="R171" s="258">
        <f t="shared" si="38"/>
        <v>2235504.76132</v>
      </c>
      <c r="S171" s="258">
        <f t="shared" si="33"/>
        <v>2133173.9359599999</v>
      </c>
      <c r="T171" s="221"/>
      <c r="U171" s="264">
        <v>12</v>
      </c>
      <c r="V171" s="113" t="s">
        <v>291</v>
      </c>
      <c r="W171" t="s">
        <v>291</v>
      </c>
      <c r="X171" t="s">
        <v>291</v>
      </c>
      <c r="Z171" s="80" t="str">
        <f>C171&amp;A171</f>
        <v>12C1</v>
      </c>
      <c r="AA171" s="81">
        <v>12</v>
      </c>
      <c r="AB171" s="82">
        <v>5.6</v>
      </c>
      <c r="AC171" s="84"/>
      <c r="AE171" s="153"/>
      <c r="AF171" s="153"/>
      <c r="AG171" s="114"/>
    </row>
    <row r="172" spans="1:33" ht="16.5" customHeight="1" x14ac:dyDescent="0.25">
      <c r="A172" s="247" t="s">
        <v>130</v>
      </c>
      <c r="B172" s="221">
        <v>39</v>
      </c>
      <c r="C172" s="221">
        <v>13</v>
      </c>
      <c r="D172" s="221" t="s">
        <v>144</v>
      </c>
      <c r="E172" s="280">
        <v>2</v>
      </c>
      <c r="F172" s="221">
        <v>4</v>
      </c>
      <c r="G172" s="221">
        <v>98.89</v>
      </c>
      <c r="H172" s="158">
        <f t="shared" si="34"/>
        <v>110</v>
      </c>
      <c r="I172" s="221">
        <f t="shared" si="35"/>
        <v>98.89</v>
      </c>
      <c r="J172" s="221">
        <v>20.72</v>
      </c>
      <c r="K172" s="260">
        <f>AB172</f>
        <v>7</v>
      </c>
      <c r="L172" s="248">
        <v>1</v>
      </c>
      <c r="M172" s="258">
        <f>$K$6*(I172*$AK$12+IF(J172&gt;30,30*$AK$13+IF(J172&gt;60,30*$AK$14+IF(J172&gt;120,60*$AK$15,(J172-60)*$AK$15),(J172-30)*$AK$14),J172*$AK$13)+$AK$17*K172+L172*$AK$18)</f>
        <v>1977919.4149199997</v>
      </c>
      <c r="N172" s="221" t="s">
        <v>39</v>
      </c>
      <c r="O172" s="258">
        <f t="shared" si="39"/>
        <v>1977919.4149199997</v>
      </c>
      <c r="P172" s="258">
        <f t="shared" si="36"/>
        <v>1483439.5611899998</v>
      </c>
      <c r="Q172" s="258">
        <f t="shared" si="37"/>
        <v>2536412.0036399998</v>
      </c>
      <c r="R172" s="258">
        <f t="shared" si="38"/>
        <v>2036412.0036399998</v>
      </c>
      <c r="S172" s="258">
        <f t="shared" si="33"/>
        <v>1977919.4149199997</v>
      </c>
      <c r="T172" s="221"/>
      <c r="U172" s="264">
        <v>13</v>
      </c>
      <c r="V172" s="113" t="s">
        <v>291</v>
      </c>
      <c r="W172" t="s">
        <v>291</v>
      </c>
      <c r="X172" t="s">
        <v>291</v>
      </c>
      <c r="Z172" s="80" t="str">
        <f>C172&amp;A172</f>
        <v>13C1</v>
      </c>
      <c r="AA172" s="81">
        <v>13</v>
      </c>
      <c r="AB172" s="82">
        <v>7</v>
      </c>
      <c r="AC172" s="84"/>
      <c r="AE172" s="153"/>
      <c r="AF172" s="153"/>
      <c r="AG172" s="114"/>
    </row>
    <row r="173" spans="1:33" ht="16.5" customHeight="1" x14ac:dyDescent="0.25">
      <c r="A173" s="247" t="s">
        <v>130</v>
      </c>
      <c r="B173" s="221">
        <v>39</v>
      </c>
      <c r="C173" s="221">
        <v>14</v>
      </c>
      <c r="D173" s="221" t="s">
        <v>145</v>
      </c>
      <c r="E173" s="280">
        <v>2</v>
      </c>
      <c r="F173" s="221">
        <v>4</v>
      </c>
      <c r="G173" s="221">
        <v>103.54</v>
      </c>
      <c r="H173" s="158">
        <f t="shared" si="34"/>
        <v>110</v>
      </c>
      <c r="I173" s="221">
        <f t="shared" si="35"/>
        <v>103.54</v>
      </c>
      <c r="J173" s="221">
        <v>22.73</v>
      </c>
      <c r="K173" s="248">
        <f>AB173</f>
        <v>5.18</v>
      </c>
      <c r="L173" s="260">
        <v>1</v>
      </c>
      <c r="M173" s="258">
        <f>$K$6*(I173*$AK$12+IF(J173&gt;30,30*$AK$13+IF(J173&gt;60,30*$AK$14+IF(J173&gt;120,60*$AK$15,(J173-60)*$AK$15),(J173-30)*$AK$14),J173*$AK$13)+$AK$17*K173+L173*$AK$18)</f>
        <v>2063171.7516600001</v>
      </c>
      <c r="N173" s="221" t="s">
        <v>39</v>
      </c>
      <c r="O173" s="258">
        <f t="shared" si="39"/>
        <v>2063171.7516600001</v>
      </c>
      <c r="P173" s="258">
        <f t="shared" si="36"/>
        <v>1547378.8137449999</v>
      </c>
      <c r="Q173" s="258">
        <f t="shared" si="37"/>
        <v>2645736.5032200003</v>
      </c>
      <c r="R173" s="258">
        <f t="shared" si="38"/>
        <v>2145736.5032200003</v>
      </c>
      <c r="S173" s="258">
        <f t="shared" si="33"/>
        <v>2063171.7516600001</v>
      </c>
      <c r="T173" s="221"/>
      <c r="U173" s="264">
        <v>14</v>
      </c>
      <c r="V173" s="113" t="s">
        <v>291</v>
      </c>
      <c r="W173" t="s">
        <v>291</v>
      </c>
      <c r="X173" t="s">
        <v>291</v>
      </c>
      <c r="Z173" s="80" t="str">
        <f>C173&amp;A173</f>
        <v>14C1</v>
      </c>
      <c r="AA173" s="81">
        <v>14</v>
      </c>
      <c r="AB173" s="82">
        <v>5.18</v>
      </c>
      <c r="AC173" s="84"/>
      <c r="AE173" s="153"/>
      <c r="AF173" s="153"/>
      <c r="AG173" s="114"/>
    </row>
    <row r="174" spans="1:33" ht="16.5" customHeight="1" x14ac:dyDescent="0.25">
      <c r="A174" s="247" t="s">
        <v>130</v>
      </c>
      <c r="B174" s="221">
        <v>39</v>
      </c>
      <c r="C174" s="221">
        <v>15</v>
      </c>
      <c r="D174" s="221" t="s">
        <v>146</v>
      </c>
      <c r="E174" s="280">
        <v>2</v>
      </c>
      <c r="F174" s="221">
        <v>5</v>
      </c>
      <c r="G174" s="221">
        <v>129.19</v>
      </c>
      <c r="H174" s="158">
        <f t="shared" si="34"/>
        <v>125</v>
      </c>
      <c r="I174" s="221">
        <f t="shared" si="35"/>
        <v>128.5615</v>
      </c>
      <c r="J174" s="221">
        <v>147.11000000000001</v>
      </c>
      <c r="K174" s="265">
        <f>AB180</f>
        <v>11.11</v>
      </c>
      <c r="L174" s="260">
        <v>1</v>
      </c>
      <c r="M174" s="258">
        <f>$K$6*(I174*$AK$12+IF(J174&gt;30,30*$AK$13+IF(J174&gt;60,30*$AK$14+IF(J174&gt;120,60*$AK$15,(J174-60)*$AK$15),(J174-30)*$AK$14),J174*$AK$13)+$AK$17*K174+L174*$AK$18)</f>
        <v>2805421.3029899998</v>
      </c>
      <c r="N174" s="221" t="s">
        <v>36</v>
      </c>
      <c r="O174" s="258">
        <f t="shared" si="39"/>
        <v>2805421.3029899998</v>
      </c>
      <c r="P174" s="258">
        <f t="shared" si="36"/>
        <v>2104065.9772424996</v>
      </c>
      <c r="Q174" s="258">
        <f t="shared" si="37"/>
        <v>3597570.3633299996</v>
      </c>
      <c r="R174" s="258">
        <f t="shared" si="38"/>
        <v>3097570.3633299996</v>
      </c>
      <c r="S174" s="258"/>
      <c r="T174" s="221"/>
      <c r="U174" s="264">
        <v>21</v>
      </c>
      <c r="V174" s="113"/>
      <c r="Z174" s="127" t="str">
        <f>C180&amp;A180</f>
        <v>21C1</v>
      </c>
      <c r="AA174" s="128">
        <v>15</v>
      </c>
      <c r="AB174" s="82">
        <v>5.18</v>
      </c>
      <c r="AC174" s="84"/>
      <c r="AE174" s="153"/>
      <c r="AF174" s="153"/>
      <c r="AG174" s="114"/>
    </row>
    <row r="175" spans="1:33" ht="16.5" customHeight="1" x14ac:dyDescent="0.25">
      <c r="A175" s="247" t="s">
        <v>130</v>
      </c>
      <c r="B175" s="221">
        <v>39</v>
      </c>
      <c r="C175" s="221">
        <v>16</v>
      </c>
      <c r="D175" s="221" t="s">
        <v>147</v>
      </c>
      <c r="E175" s="280">
        <v>2</v>
      </c>
      <c r="F175" s="221">
        <v>5</v>
      </c>
      <c r="G175" s="221">
        <v>129.11000000000001</v>
      </c>
      <c r="H175" s="158">
        <f t="shared" si="34"/>
        <v>125</v>
      </c>
      <c r="I175" s="221">
        <f t="shared" si="35"/>
        <v>128.49350000000001</v>
      </c>
      <c r="J175" s="221">
        <v>106.82</v>
      </c>
      <c r="K175" s="266">
        <f>AB175</f>
        <v>5.32</v>
      </c>
      <c r="L175" s="260">
        <v>1</v>
      </c>
      <c r="M175" s="258">
        <f>$K$6*(I175*$AK$12+IF(J175&gt;30,30*$AK$13+IF(J175&gt;60,30*$AK$14+IF(J175&gt;120,60*$AK$15,(J175-60)*$AK$15),(J175-30)*$AK$14),J175*$AK$13)+$AK$17*K175+L175*$AK$18)</f>
        <v>2748858.0891300002</v>
      </c>
      <c r="N175" s="221" t="s">
        <v>39</v>
      </c>
      <c r="O175" s="258">
        <f t="shared" si="39"/>
        <v>2748858.0891300002</v>
      </c>
      <c r="P175" s="258">
        <f t="shared" si="36"/>
        <v>2061643.5668475002</v>
      </c>
      <c r="Q175" s="258">
        <f t="shared" si="37"/>
        <v>3525035.7527099997</v>
      </c>
      <c r="R175" s="258">
        <f t="shared" si="38"/>
        <v>3025035.7527099997</v>
      </c>
      <c r="S175" s="258">
        <f t="shared" si="33"/>
        <v>2748858.0891300002</v>
      </c>
      <c r="T175" s="221"/>
      <c r="U175" s="264">
        <v>16</v>
      </c>
      <c r="V175" s="113" t="s">
        <v>291</v>
      </c>
      <c r="W175" t="s">
        <v>291</v>
      </c>
      <c r="X175" t="s">
        <v>291</v>
      </c>
      <c r="Z175" s="80" t="str">
        <f>C175&amp;A175</f>
        <v>16C1</v>
      </c>
      <c r="AA175" s="81">
        <v>16</v>
      </c>
      <c r="AB175" s="82">
        <v>5.32</v>
      </c>
      <c r="AC175" s="84"/>
      <c r="AE175" s="153"/>
      <c r="AF175" s="153"/>
      <c r="AG175" s="114"/>
    </row>
    <row r="176" spans="1:33" ht="16.5" customHeight="1" x14ac:dyDescent="0.25">
      <c r="A176" s="247" t="s">
        <v>130</v>
      </c>
      <c r="B176" s="221">
        <v>39</v>
      </c>
      <c r="C176" s="221">
        <v>17</v>
      </c>
      <c r="D176" s="221" t="s">
        <v>148</v>
      </c>
      <c r="E176" s="280">
        <v>3</v>
      </c>
      <c r="F176" s="221">
        <v>4</v>
      </c>
      <c r="G176" s="221">
        <v>98.89</v>
      </c>
      <c r="H176" s="158">
        <f t="shared" si="34"/>
        <v>110</v>
      </c>
      <c r="I176" s="221">
        <f t="shared" si="35"/>
        <v>98.89</v>
      </c>
      <c r="J176" s="221">
        <v>14</v>
      </c>
      <c r="K176" s="248">
        <f>AB176</f>
        <v>8.4600000000000009</v>
      </c>
      <c r="L176" s="248">
        <v>1</v>
      </c>
      <c r="M176" s="258">
        <f>$K$6*(I176*$AK$12+IF(J176&gt;30,30*$AK$13+IF(J176&gt;60,30*$AK$14+IF(J176&gt;120,60*$AK$15,(J176-60)*$AK$15),(J176-30)*$AK$14),J176*$AK$13)+$AK$17*K176+L176*$AK$18)</f>
        <v>1949338.9629599999</v>
      </c>
      <c r="N176" s="221" t="s">
        <v>39</v>
      </c>
      <c r="O176" s="258">
        <f t="shared" si="39"/>
        <v>1949338.9629599999</v>
      </c>
      <c r="P176" s="258">
        <f t="shared" si="36"/>
        <v>1462004.2222199999</v>
      </c>
      <c r="Q176" s="258">
        <f t="shared" si="37"/>
        <v>2499761.4703199998</v>
      </c>
      <c r="R176" s="258">
        <f t="shared" si="38"/>
        <v>1999761.4703199998</v>
      </c>
      <c r="S176" s="258">
        <f t="shared" si="33"/>
        <v>1949338.9629599999</v>
      </c>
      <c r="T176" s="221"/>
      <c r="U176" s="264">
        <v>17</v>
      </c>
      <c r="V176" s="113" t="s">
        <v>291</v>
      </c>
      <c r="W176" t="s">
        <v>291</v>
      </c>
      <c r="X176" t="s">
        <v>291</v>
      </c>
      <c r="Z176" s="80" t="str">
        <f>C176&amp;A176</f>
        <v>17C1</v>
      </c>
      <c r="AA176" s="81">
        <v>17</v>
      </c>
      <c r="AB176" s="82">
        <v>8.4600000000000009</v>
      </c>
      <c r="AC176" s="84"/>
      <c r="AE176" s="153"/>
      <c r="AF176" s="153"/>
      <c r="AG176" s="114"/>
    </row>
    <row r="177" spans="1:38" ht="16.5" customHeight="1" x14ac:dyDescent="0.25">
      <c r="A177" s="247" t="s">
        <v>130</v>
      </c>
      <c r="B177" s="221">
        <v>39</v>
      </c>
      <c r="C177" s="221">
        <v>18</v>
      </c>
      <c r="D177" s="221" t="s">
        <v>149</v>
      </c>
      <c r="E177" s="280">
        <v>3</v>
      </c>
      <c r="F177" s="221">
        <v>4</v>
      </c>
      <c r="G177" s="221">
        <v>103.54</v>
      </c>
      <c r="H177" s="158">
        <f t="shared" si="34"/>
        <v>110</v>
      </c>
      <c r="I177" s="221">
        <f t="shared" si="35"/>
        <v>103.54</v>
      </c>
      <c r="J177" s="221">
        <v>16.62</v>
      </c>
      <c r="K177" s="248">
        <f>AB177</f>
        <v>5.63</v>
      </c>
      <c r="L177" s="248">
        <v>1</v>
      </c>
      <c r="M177" s="258">
        <f>$K$6*(I177*$AK$12+IF(J177&gt;30,30*$AK$13+IF(J177&gt;60,30*$AK$14+IF(J177&gt;120,60*$AK$15,(J177-60)*$AK$15),(J177-30)*$AK$14),J177*$AK$13)+$AK$17*K177+L177*$AK$18)</f>
        <v>2032417.8813</v>
      </c>
      <c r="N177" s="221" t="s">
        <v>39</v>
      </c>
      <c r="O177" s="258">
        <f t="shared" si="39"/>
        <v>2032417.8813</v>
      </c>
      <c r="P177" s="258">
        <f t="shared" si="36"/>
        <v>1524313.4109749999</v>
      </c>
      <c r="Q177" s="258">
        <f t="shared" si="37"/>
        <v>2606298.8571000001</v>
      </c>
      <c r="R177" s="258">
        <f t="shared" si="38"/>
        <v>2106298.8571000001</v>
      </c>
      <c r="S177" s="258">
        <f t="shared" si="33"/>
        <v>2032417.8813</v>
      </c>
      <c r="T177" s="221"/>
      <c r="U177" s="264">
        <v>18</v>
      </c>
      <c r="V177" s="113" t="s">
        <v>291</v>
      </c>
      <c r="W177" t="s">
        <v>291</v>
      </c>
      <c r="X177" t="s">
        <v>291</v>
      </c>
      <c r="Z177" s="80" t="str">
        <f>C177&amp;A177</f>
        <v>18C1</v>
      </c>
      <c r="AA177" s="81">
        <v>18</v>
      </c>
      <c r="AB177" s="223">
        <v>5.63</v>
      </c>
      <c r="AC177" s="84"/>
      <c r="AE177" s="153"/>
      <c r="AF177" s="153"/>
      <c r="AG177" s="114"/>
    </row>
    <row r="178" spans="1:38" ht="16.5" customHeight="1" x14ac:dyDescent="0.25">
      <c r="A178" s="247" t="s">
        <v>130</v>
      </c>
      <c r="B178" s="221">
        <v>39</v>
      </c>
      <c r="C178" s="221">
        <v>19</v>
      </c>
      <c r="D178" s="221" t="s">
        <v>150</v>
      </c>
      <c r="E178" s="280">
        <v>3</v>
      </c>
      <c r="F178" s="221">
        <v>5</v>
      </c>
      <c r="G178" s="221">
        <v>129.19</v>
      </c>
      <c r="H178" s="208">
        <f t="shared" si="34"/>
        <v>125</v>
      </c>
      <c r="I178" s="249">
        <f t="shared" si="35"/>
        <v>128.5615</v>
      </c>
      <c r="J178" s="221">
        <v>25.42</v>
      </c>
      <c r="K178" s="260">
        <f>AB178</f>
        <v>5.86</v>
      </c>
      <c r="L178" s="260">
        <v>1</v>
      </c>
      <c r="M178" s="258">
        <f>$K$6*(I178*$AK$12+IF(J178&gt;30,30*$AK$13+IF(J178&gt;60,30*$AK$14+IF(J178&gt;120,60*$AK$15,(J178-60)*$AK$15),(J178-30)*$AK$14),J178*$AK$13)+$AK$17*K178+L178*$AK$18)</f>
        <v>2534667.7058100002</v>
      </c>
      <c r="N178" s="221" t="s">
        <v>39</v>
      </c>
      <c r="O178" s="258">
        <f t="shared" si="39"/>
        <v>2534667.7058100002</v>
      </c>
      <c r="P178" s="258">
        <f t="shared" si="36"/>
        <v>1901000.7793575001</v>
      </c>
      <c r="Q178" s="258">
        <f t="shared" si="37"/>
        <v>3250365.78627</v>
      </c>
      <c r="R178" s="258">
        <f t="shared" si="38"/>
        <v>2750365.78627</v>
      </c>
      <c r="S178" s="258">
        <f t="shared" si="33"/>
        <v>2534667.7058100002</v>
      </c>
      <c r="T178" s="221"/>
      <c r="U178" s="264">
        <v>19</v>
      </c>
      <c r="V178" s="113" t="s">
        <v>291</v>
      </c>
      <c r="W178" t="s">
        <v>291</v>
      </c>
      <c r="X178" t="s">
        <v>291</v>
      </c>
      <c r="Z178" s="80" t="s">
        <v>255</v>
      </c>
      <c r="AA178" s="81">
        <v>19</v>
      </c>
      <c r="AB178" s="82">
        <v>5.86</v>
      </c>
      <c r="AC178" s="84"/>
      <c r="AE178" s="153"/>
      <c r="AF178" s="153"/>
      <c r="AG178" s="114"/>
    </row>
    <row r="179" spans="1:38" ht="16.5" customHeight="1" x14ac:dyDescent="0.25">
      <c r="A179" s="247" t="s">
        <v>130</v>
      </c>
      <c r="B179" s="221">
        <v>39</v>
      </c>
      <c r="C179" s="221">
        <v>20</v>
      </c>
      <c r="D179" s="221" t="s">
        <v>151</v>
      </c>
      <c r="E179" s="280">
        <v>3</v>
      </c>
      <c r="F179" s="221">
        <v>5</v>
      </c>
      <c r="G179" s="221">
        <v>129.11000000000001</v>
      </c>
      <c r="H179" s="158">
        <f t="shared" si="34"/>
        <v>125</v>
      </c>
      <c r="I179" s="221">
        <f t="shared" si="35"/>
        <v>128.49350000000001</v>
      </c>
      <c r="J179" s="221">
        <v>25.42</v>
      </c>
      <c r="K179" s="265">
        <f>AH186</f>
        <v>10.77</v>
      </c>
      <c r="L179" s="260">
        <v>1</v>
      </c>
      <c r="M179" s="258">
        <f>$K$6*(I179*$AK$12+IF(J179&gt;30,30*$AK$13+IF(J179&gt;60,30*$AK$14+IF(J179&gt;120,60*$AK$15,(J179-60)*$AK$15),(J179-30)*$AK$14),J179*$AK$13)+$AK$17*K179+L179*$AK$18)</f>
        <v>2560114.8129100003</v>
      </c>
      <c r="N179" s="221" t="s">
        <v>39</v>
      </c>
      <c r="O179" s="258">
        <f t="shared" si="39"/>
        <v>2560114.8129100003</v>
      </c>
      <c r="P179" s="258">
        <f t="shared" si="36"/>
        <v>1920086.1096825004</v>
      </c>
      <c r="Q179" s="258">
        <f t="shared" si="37"/>
        <v>3282998.2319700001</v>
      </c>
      <c r="R179" s="258">
        <f t="shared" si="38"/>
        <v>2782998.2319700001</v>
      </c>
      <c r="S179" s="258">
        <f t="shared" si="33"/>
        <v>2560114.8129100003</v>
      </c>
      <c r="T179" s="221"/>
      <c r="U179" s="264">
        <v>30</v>
      </c>
      <c r="V179" s="113" t="s">
        <v>291</v>
      </c>
      <c r="W179" t="s">
        <v>291</v>
      </c>
      <c r="X179" t="s">
        <v>291</v>
      </c>
      <c r="Z179" s="127" t="s">
        <v>251</v>
      </c>
      <c r="AA179" s="128">
        <v>20</v>
      </c>
      <c r="AB179" s="82">
        <v>17.62</v>
      </c>
      <c r="AC179" s="84"/>
      <c r="AE179" s="153"/>
      <c r="AF179" s="153"/>
      <c r="AG179" s="114"/>
    </row>
    <row r="180" spans="1:38" ht="16.5" customHeight="1" x14ac:dyDescent="0.25">
      <c r="A180" s="247" t="s">
        <v>130</v>
      </c>
      <c r="B180" s="221">
        <v>39</v>
      </c>
      <c r="C180" s="221">
        <v>21</v>
      </c>
      <c r="D180" s="221" t="s">
        <v>152</v>
      </c>
      <c r="E180" s="280">
        <v>4</v>
      </c>
      <c r="F180" s="221">
        <v>4</v>
      </c>
      <c r="G180" s="221">
        <v>98.89</v>
      </c>
      <c r="H180" s="158">
        <f t="shared" si="34"/>
        <v>110</v>
      </c>
      <c r="I180" s="221">
        <f t="shared" si="35"/>
        <v>98.89</v>
      </c>
      <c r="J180" s="221">
        <v>7.13</v>
      </c>
      <c r="K180" s="265">
        <f>AB174</f>
        <v>5.18</v>
      </c>
      <c r="L180" s="260">
        <v>1</v>
      </c>
      <c r="M180" s="258">
        <f>$K$6*(I180*$AK$12+IF(J180&gt;30,30*$AK$13+IF(J180&gt;60,30*$AK$14+IF(J180&gt;120,60*$AK$15,(J180-60)*$AK$15),(J180-30)*$AK$14),J180*$AK$13)+$AK$17*K180+L180*$AK$18)</f>
        <v>1894188.4710599999</v>
      </c>
      <c r="N180" s="221" t="s">
        <v>39</v>
      </c>
      <c r="O180" s="258">
        <f t="shared" si="39"/>
        <v>1894188.4710599999</v>
      </c>
      <c r="P180" s="258">
        <f t="shared" si="36"/>
        <v>1420641.3532949998</v>
      </c>
      <c r="Q180" s="258">
        <f t="shared" si="37"/>
        <v>2429038.4830199997</v>
      </c>
      <c r="R180" s="258">
        <f t="shared" si="38"/>
        <v>1929038.4830199997</v>
      </c>
      <c r="S180" s="258">
        <f t="shared" si="33"/>
        <v>1894188.4710599999</v>
      </c>
      <c r="T180" s="221"/>
      <c r="U180" s="264">
        <v>15</v>
      </c>
      <c r="V180" s="113" t="s">
        <v>291</v>
      </c>
      <c r="W180" t="s">
        <v>291</v>
      </c>
      <c r="X180" t="s">
        <v>291</v>
      </c>
      <c r="Z180" s="127" t="str">
        <f>C174&amp;A174</f>
        <v>15C1</v>
      </c>
      <c r="AA180" s="128">
        <v>21</v>
      </c>
      <c r="AB180" s="82">
        <v>11.11</v>
      </c>
      <c r="AC180" s="84"/>
      <c r="AE180" s="153"/>
      <c r="AF180" s="153"/>
      <c r="AG180" s="114"/>
    </row>
    <row r="181" spans="1:38" ht="16.5" customHeight="1" x14ac:dyDescent="0.25">
      <c r="A181" s="247" t="s">
        <v>130</v>
      </c>
      <c r="B181" s="221">
        <v>39</v>
      </c>
      <c r="C181" s="221">
        <v>22</v>
      </c>
      <c r="D181" s="221" t="s">
        <v>153</v>
      </c>
      <c r="E181" s="280">
        <v>4</v>
      </c>
      <c r="F181" s="221">
        <v>4</v>
      </c>
      <c r="G181" s="221">
        <v>103.54</v>
      </c>
      <c r="H181" s="158">
        <f t="shared" si="34"/>
        <v>110</v>
      </c>
      <c r="I181" s="221">
        <f t="shared" si="35"/>
        <v>103.54</v>
      </c>
      <c r="J181" s="221">
        <v>15.87</v>
      </c>
      <c r="K181" s="265">
        <f>AB181</f>
        <v>12.52</v>
      </c>
      <c r="L181" s="248">
        <v>1</v>
      </c>
      <c r="M181" s="258">
        <f>$K$6*(I181*$AK$12+IF(J181&gt;30,30*$AK$13+IF(J181&gt;60,30*$AK$14+IF(J181&gt;120,60*$AK$15,(J181-60)*$AK$15),(J181-30)*$AK$14),J181*$AK$13)+$AK$17*K181+L181*$AK$18)</f>
        <v>2065779.8537399999</v>
      </c>
      <c r="N181" s="221" t="s">
        <v>39</v>
      </c>
      <c r="O181" s="258">
        <f t="shared" si="39"/>
        <v>2065779.8537399999</v>
      </c>
      <c r="P181" s="258">
        <f t="shared" si="36"/>
        <v>1549334.8903049999</v>
      </c>
      <c r="Q181" s="258">
        <f t="shared" si="37"/>
        <v>2649081.0385799999</v>
      </c>
      <c r="R181" s="258">
        <f t="shared" si="38"/>
        <v>2149081.0385799999</v>
      </c>
      <c r="S181" s="258">
        <f t="shared" si="33"/>
        <v>2065779.8537399999</v>
      </c>
      <c r="T181" s="221"/>
      <c r="U181" s="264">
        <v>22</v>
      </c>
      <c r="V181" s="113" t="s">
        <v>291</v>
      </c>
      <c r="W181" t="s">
        <v>291</v>
      </c>
      <c r="X181" t="s">
        <v>291</v>
      </c>
      <c r="Z181" s="80" t="str">
        <f>C181&amp;A181</f>
        <v>22C1</v>
      </c>
      <c r="AA181" s="81">
        <v>22</v>
      </c>
      <c r="AB181" s="82">
        <v>12.52</v>
      </c>
      <c r="AC181" s="84"/>
      <c r="AE181" s="153"/>
      <c r="AF181" s="153"/>
      <c r="AG181" s="114"/>
    </row>
    <row r="182" spans="1:38" ht="16.5" customHeight="1" x14ac:dyDescent="0.25">
      <c r="A182" s="247" t="s">
        <v>130</v>
      </c>
      <c r="B182" s="221">
        <v>39</v>
      </c>
      <c r="C182" s="221">
        <v>23</v>
      </c>
      <c r="D182" s="221" t="s">
        <v>154</v>
      </c>
      <c r="E182" s="280">
        <v>4</v>
      </c>
      <c r="F182" s="221">
        <v>5</v>
      </c>
      <c r="G182" s="221">
        <v>129.19</v>
      </c>
      <c r="H182" s="208">
        <f t="shared" si="34"/>
        <v>125</v>
      </c>
      <c r="I182" s="249">
        <f t="shared" si="35"/>
        <v>128.5615</v>
      </c>
      <c r="J182" s="221">
        <v>15.75</v>
      </c>
      <c r="K182" s="266">
        <f>AB182</f>
        <v>10.77</v>
      </c>
      <c r="L182" s="248">
        <v>1</v>
      </c>
      <c r="M182" s="258">
        <f>$K$6*(I182*$AK$12+IF(J182&gt;30,30*$AK$13+IF(J182&gt;60,30*$AK$14+IF(J182&gt;120,60*$AK$15,(J182-60)*$AK$15),(J182-30)*$AK$14),J182*$AK$13)+$AK$17*K182+L182*$AK$18)</f>
        <v>2508804.0268499996</v>
      </c>
      <c r="N182" s="221" t="s">
        <v>39</v>
      </c>
      <c r="O182" s="258">
        <f t="shared" si="39"/>
        <v>2508804.0268499996</v>
      </c>
      <c r="P182" s="258">
        <f t="shared" si="36"/>
        <v>1881603.0201374996</v>
      </c>
      <c r="Q182" s="258">
        <f t="shared" si="37"/>
        <v>3217199.1439499995</v>
      </c>
      <c r="R182" s="258">
        <f t="shared" si="38"/>
        <v>2717199.1439499995</v>
      </c>
      <c r="S182" s="258">
        <f t="shared" si="33"/>
        <v>2508804.0268499996</v>
      </c>
      <c r="T182" s="221"/>
      <c r="U182" s="264">
        <v>23</v>
      </c>
      <c r="V182" s="113" t="s">
        <v>291</v>
      </c>
      <c r="W182" t="s">
        <v>291</v>
      </c>
      <c r="X182" t="s">
        <v>291</v>
      </c>
      <c r="Z182" s="80" t="s">
        <v>257</v>
      </c>
      <c r="AA182" s="81">
        <v>23</v>
      </c>
      <c r="AB182" s="82">
        <v>10.77</v>
      </c>
      <c r="AC182" s="84"/>
      <c r="AE182" s="153"/>
      <c r="AF182" s="153"/>
      <c r="AG182" s="114"/>
    </row>
    <row r="183" spans="1:38" ht="16.5" customHeight="1" x14ac:dyDescent="0.25">
      <c r="A183" s="247" t="s">
        <v>130</v>
      </c>
      <c r="B183" s="221">
        <v>39</v>
      </c>
      <c r="C183" s="221">
        <v>24</v>
      </c>
      <c r="D183" s="221" t="s">
        <v>155</v>
      </c>
      <c r="E183" s="280">
        <v>4</v>
      </c>
      <c r="F183" s="221">
        <v>5</v>
      </c>
      <c r="G183" s="221">
        <v>129.11000000000001</v>
      </c>
      <c r="H183" s="158">
        <f t="shared" si="34"/>
        <v>125</v>
      </c>
      <c r="I183" s="221">
        <f t="shared" si="35"/>
        <v>128.49350000000001</v>
      </c>
      <c r="J183" s="221">
        <v>15.75</v>
      </c>
      <c r="K183" s="265">
        <f>AB162</f>
        <v>12.17</v>
      </c>
      <c r="L183" s="260">
        <v>1</v>
      </c>
      <c r="M183" s="258">
        <f>$K$6*(I183*$AK$12+IF(J183&gt;30,30*$AK$13+IF(J183&gt;60,30*$AK$14+IF(J183&gt;120,60*$AK$15,(J183-60)*$AK$15),(J183-30)*$AK$14),J183*$AK$13)+$AK$17*K183+L183*$AK$18)</f>
        <v>2515179.3874900001</v>
      </c>
      <c r="N183" s="221" t="s">
        <v>39</v>
      </c>
      <c r="O183" s="258">
        <f t="shared" si="39"/>
        <v>2515179.3874900001</v>
      </c>
      <c r="P183" s="258">
        <f t="shared" si="36"/>
        <v>1886384.5406175</v>
      </c>
      <c r="Q183" s="258">
        <f t="shared" si="37"/>
        <v>3225374.6748300004</v>
      </c>
      <c r="R183" s="258">
        <f t="shared" si="38"/>
        <v>2725374.6748300004</v>
      </c>
      <c r="S183" s="258">
        <f t="shared" si="33"/>
        <v>2515179.3874900001</v>
      </c>
      <c r="T183" s="221"/>
      <c r="U183" s="264">
        <v>3</v>
      </c>
      <c r="V183" s="113" t="s">
        <v>291</v>
      </c>
      <c r="W183" t="s">
        <v>291</v>
      </c>
      <c r="X183" t="s">
        <v>291</v>
      </c>
      <c r="Z183" s="127" t="s">
        <v>258</v>
      </c>
      <c r="AA183" s="128">
        <v>24</v>
      </c>
      <c r="AB183" s="82">
        <v>13.51</v>
      </c>
      <c r="AC183" s="84"/>
      <c r="AE183" s="153"/>
      <c r="AF183" s="153"/>
      <c r="AG183" s="114"/>
    </row>
    <row r="184" spans="1:38" ht="16.5" customHeight="1" thickBot="1" x14ac:dyDescent="0.3">
      <c r="A184" s="247" t="s">
        <v>130</v>
      </c>
      <c r="B184" s="221">
        <v>39</v>
      </c>
      <c r="C184" s="221">
        <v>25</v>
      </c>
      <c r="D184" s="221" t="s">
        <v>156</v>
      </c>
      <c r="E184" s="280">
        <v>5</v>
      </c>
      <c r="F184" s="221">
        <v>5</v>
      </c>
      <c r="G184" s="221">
        <v>159.94999999999999</v>
      </c>
      <c r="H184" s="158">
        <f t="shared" si="34"/>
        <v>125</v>
      </c>
      <c r="I184" s="221">
        <f t="shared" si="35"/>
        <v>154.70749999999998</v>
      </c>
      <c r="J184" s="221">
        <v>22.76</v>
      </c>
      <c r="K184" s="265">
        <f>AB179</f>
        <v>17.62</v>
      </c>
      <c r="L184" s="260">
        <v>1</v>
      </c>
      <c r="M184" s="258">
        <f>$K$6*(I184*$AK$12+IF(J184&gt;30,30*$AK$13+IF(J184&gt;60,30*$AK$14+IF(J184&gt;120,60*$AK$15,(J184-60)*$AK$15),(J184-30)*$AK$14),J184*$AK$13)+$AK$17*K184+L184*$AK$18)</f>
        <v>3057664.6201299997</v>
      </c>
      <c r="N184" s="221" t="s">
        <v>36</v>
      </c>
      <c r="O184" s="258">
        <f t="shared" si="39"/>
        <v>3057664.6201299997</v>
      </c>
      <c r="P184" s="258">
        <f t="shared" si="36"/>
        <v>2293248.4650975</v>
      </c>
      <c r="Q184" s="258">
        <f t="shared" si="37"/>
        <v>3921038.0297099994</v>
      </c>
      <c r="R184" s="258">
        <f t="shared" si="38"/>
        <v>3421038.0297099994</v>
      </c>
      <c r="S184" s="258"/>
      <c r="T184" s="221"/>
      <c r="U184" s="264">
        <v>20</v>
      </c>
      <c r="V184" s="113"/>
      <c r="Z184" s="127" t="s">
        <v>254</v>
      </c>
      <c r="AA184" s="128">
        <v>25</v>
      </c>
      <c r="AB184" s="216">
        <v>9.1300000000000008</v>
      </c>
      <c r="AC184" s="84"/>
      <c r="AE184" s="153"/>
      <c r="AF184" s="153"/>
      <c r="AG184" s="114"/>
    </row>
    <row r="185" spans="1:38" ht="16.5" customHeight="1" x14ac:dyDescent="0.25">
      <c r="A185" s="247" t="s">
        <v>130</v>
      </c>
      <c r="B185" s="221">
        <v>39</v>
      </c>
      <c r="C185" s="221">
        <v>26</v>
      </c>
      <c r="D185" s="221" t="s">
        <v>157</v>
      </c>
      <c r="E185" s="280">
        <v>5</v>
      </c>
      <c r="F185" s="221">
        <v>6</v>
      </c>
      <c r="G185" s="221">
        <v>191.19</v>
      </c>
      <c r="H185" s="158">
        <f t="shared" si="34"/>
        <v>145</v>
      </c>
      <c r="I185" s="221">
        <f t="shared" si="35"/>
        <v>184.26150000000001</v>
      </c>
      <c r="J185" s="221">
        <f>10.25+8.02</f>
        <v>18.27</v>
      </c>
      <c r="K185" s="266">
        <f>AB183</f>
        <v>13.51</v>
      </c>
      <c r="L185" s="260">
        <v>1</v>
      </c>
      <c r="M185" s="258">
        <f>$K$6*(I185*$AK$12+IF(J185&gt;30,30*$AK$13+IF(J185&gt;60,30*$AK$14+IF(J185&gt;120,60*$AK$15,(J185-60)*$AK$15),(J185-30)*$AK$14),J185*$AK$13)+$AK$17*K185+L185*$AK$18)</f>
        <v>3546212.8528100001</v>
      </c>
      <c r="N185" s="221" t="s">
        <v>36</v>
      </c>
      <c r="O185" s="258">
        <f t="shared" si="39"/>
        <v>3546212.8528100001</v>
      </c>
      <c r="P185" s="258">
        <f t="shared" si="36"/>
        <v>2659659.6396075003</v>
      </c>
      <c r="Q185" s="258">
        <f t="shared" si="37"/>
        <v>4547534.5352699999</v>
      </c>
      <c r="R185" s="258">
        <f t="shared" si="38"/>
        <v>4047534.5352699999</v>
      </c>
      <c r="S185" s="258"/>
      <c r="T185" s="221"/>
      <c r="U185" s="264">
        <v>24</v>
      </c>
      <c r="V185" s="113"/>
      <c r="Z185" s="134" t="str">
        <f>C242&amp;A242</f>
        <v>54C3</v>
      </c>
      <c r="AA185" s="135">
        <v>26</v>
      </c>
      <c r="AB185" s="82">
        <v>6.28</v>
      </c>
      <c r="AC185" s="84"/>
      <c r="AF185" s="183" t="str">
        <f>C241&amp;A241</f>
        <v>53C3</v>
      </c>
      <c r="AG185" s="184">
        <v>29</v>
      </c>
      <c r="AH185" s="78">
        <v>12.52</v>
      </c>
      <c r="AI185" s="185"/>
    </row>
    <row r="186" spans="1:38" ht="16.5" customHeight="1" x14ac:dyDescent="0.25">
      <c r="A186" s="247" t="s">
        <v>130</v>
      </c>
      <c r="B186" s="221">
        <v>39</v>
      </c>
      <c r="C186" s="221">
        <v>27</v>
      </c>
      <c r="D186" s="221" t="s">
        <v>158</v>
      </c>
      <c r="E186" s="280">
        <v>5</v>
      </c>
      <c r="F186" s="221">
        <v>6</v>
      </c>
      <c r="G186" s="221">
        <v>166.99</v>
      </c>
      <c r="H186" s="158">
        <f t="shared" si="34"/>
        <v>145</v>
      </c>
      <c r="I186" s="221">
        <f t="shared" si="35"/>
        <v>163.69150000000002</v>
      </c>
      <c r="J186" s="221">
        <v>48.6</v>
      </c>
      <c r="K186" s="265">
        <f>AB187</f>
        <v>11.11</v>
      </c>
      <c r="L186" s="248">
        <v>1</v>
      </c>
      <c r="M186" s="258">
        <f>$K$6*(I186*$AK$12+IF(J186&gt;30,30*$AK$13+IF(J186&gt;60,30*$AK$14+IF(J186&gt;120,60*$AK$15,(J186-60)*$AK$15),(J186-30)*$AK$14),J186*$AK$13)+$AK$17*K186+L186*$AK$18)</f>
        <v>3291723.6699900003</v>
      </c>
      <c r="N186" s="221" t="s">
        <v>36</v>
      </c>
      <c r="O186" s="258">
        <f t="shared" si="39"/>
        <v>3291723.6699900003</v>
      </c>
      <c r="P186" s="258">
        <f t="shared" si="36"/>
        <v>2468792.7524925005</v>
      </c>
      <c r="Q186" s="258">
        <f t="shared" si="37"/>
        <v>4221186.8523300001</v>
      </c>
      <c r="R186" s="258">
        <f t="shared" si="38"/>
        <v>3721186.8523300001</v>
      </c>
      <c r="S186" s="258"/>
      <c r="T186" s="221"/>
      <c r="U186" s="264">
        <v>28</v>
      </c>
      <c r="V186" s="113"/>
      <c r="Z186" s="134" t="s">
        <v>253</v>
      </c>
      <c r="AA186" s="135">
        <v>27</v>
      </c>
      <c r="AB186" s="82">
        <v>17.62</v>
      </c>
      <c r="AC186" s="84"/>
      <c r="AF186" s="138" t="s">
        <v>256</v>
      </c>
      <c r="AG186" s="136">
        <v>30</v>
      </c>
      <c r="AH186" s="82">
        <v>10.77</v>
      </c>
      <c r="AI186" s="137"/>
    </row>
    <row r="187" spans="1:38" ht="16.5" customHeight="1" thickBot="1" x14ac:dyDescent="0.3">
      <c r="A187" s="250" t="s">
        <v>130</v>
      </c>
      <c r="B187" s="251">
        <v>39</v>
      </c>
      <c r="C187" s="251">
        <v>28</v>
      </c>
      <c r="D187" s="251" t="s">
        <v>159</v>
      </c>
      <c r="E187" s="251">
        <v>5</v>
      </c>
      <c r="F187" s="251">
        <v>6</v>
      </c>
      <c r="G187" s="251">
        <v>166.84</v>
      </c>
      <c r="H187" s="141">
        <f t="shared" si="34"/>
        <v>145</v>
      </c>
      <c r="I187" s="251">
        <f t="shared" si="35"/>
        <v>163.56399999999999</v>
      </c>
      <c r="J187" s="251">
        <v>48.6</v>
      </c>
      <c r="K187" s="252">
        <f>AH187</f>
        <v>16.940000000000001</v>
      </c>
      <c r="L187" s="252">
        <v>1</v>
      </c>
      <c r="M187" s="261">
        <f>$K$6*(I187*$AK$12+IF(J187&gt;30,30*$AK$13+IF(J187&gt;60,30*$AK$14+IF(J187&gt;120,60*$AK$15,(J187-60)*$AK$15),(J187-30)*$AK$14),J187*$AK$13)+$AK$17*K187+L187*$AK$18)</f>
        <v>3321091.9861199996</v>
      </c>
      <c r="N187" s="251" t="s">
        <v>36</v>
      </c>
      <c r="O187" s="261">
        <f t="shared" si="39"/>
        <v>3321091.9861199996</v>
      </c>
      <c r="P187" s="261">
        <f t="shared" si="36"/>
        <v>2490818.9895899994</v>
      </c>
      <c r="Q187" s="261">
        <f t="shared" si="37"/>
        <v>4258847.7140399991</v>
      </c>
      <c r="R187" s="261">
        <f t="shared" si="38"/>
        <v>3758847.7140399991</v>
      </c>
      <c r="S187" s="261"/>
      <c r="T187" s="251"/>
      <c r="U187" s="268">
        <v>31</v>
      </c>
      <c r="V187" s="113"/>
      <c r="Z187" s="86" t="s">
        <v>252</v>
      </c>
      <c r="AA187" s="87">
        <v>28</v>
      </c>
      <c r="AB187" s="88">
        <v>11.11</v>
      </c>
      <c r="AC187" s="89"/>
      <c r="AF187" s="139" t="s">
        <v>259</v>
      </c>
      <c r="AG187" s="140">
        <v>31</v>
      </c>
      <c r="AH187" s="141">
        <v>16.940000000000001</v>
      </c>
      <c r="AI187" s="142"/>
    </row>
    <row r="188" spans="1:38" ht="16.5" customHeight="1" thickBot="1" x14ac:dyDescent="0.3">
      <c r="A188" s="231" t="s">
        <v>65</v>
      </c>
      <c r="B188" s="319"/>
      <c r="C188" s="319"/>
      <c r="D188" s="319"/>
      <c r="E188" s="319"/>
      <c r="F188" s="319"/>
      <c r="G188" s="154">
        <f>SUMIF(N160:N187,"כן",G160:G187)/COUNT(C160:C187)</f>
        <v>81.907142857142858</v>
      </c>
      <c r="H188" s="154" t="e">
        <f t="shared" si="34"/>
        <v>#N/A</v>
      </c>
      <c r="I188" s="154"/>
      <c r="J188" s="155"/>
      <c r="K188" s="227" t="s">
        <v>66</v>
      </c>
      <c r="L188" s="227"/>
      <c r="M188" s="227"/>
      <c r="N188" s="156">
        <f>COUNTIF(N160:N187,"כן")/COUNT(C160:C187)</f>
        <v>0.75</v>
      </c>
      <c r="O188" s="156"/>
      <c r="P188" s="156"/>
      <c r="Q188" s="156"/>
      <c r="R188" s="156"/>
      <c r="S188" s="156"/>
      <c r="T188" s="157"/>
      <c r="U188" s="299"/>
      <c r="V188" s="113"/>
      <c r="AE188" s="153"/>
      <c r="AF188" s="153"/>
      <c r="AG188" s="114"/>
    </row>
    <row r="189" spans="1:38" ht="16.5" customHeight="1" x14ac:dyDescent="0.25">
      <c r="A189" s="282" t="s">
        <v>160</v>
      </c>
      <c r="B189" s="283">
        <v>39</v>
      </c>
      <c r="C189" s="283">
        <v>1</v>
      </c>
      <c r="D189" s="283" t="s">
        <v>161</v>
      </c>
      <c r="E189" s="283">
        <v>-5</v>
      </c>
      <c r="F189" s="283">
        <v>6</v>
      </c>
      <c r="G189" s="283">
        <v>143.4</v>
      </c>
      <c r="H189" s="169">
        <f t="shared" si="34"/>
        <v>145</v>
      </c>
      <c r="I189" s="283">
        <f t="shared" ref="I189:I220" si="40">IF(G189&gt;H189,(G189-H189)*$AL$12+H189,G189)</f>
        <v>143.4</v>
      </c>
      <c r="J189" s="288">
        <v>141.13999999999999</v>
      </c>
      <c r="K189" s="269">
        <f>AB189</f>
        <v>7.11</v>
      </c>
      <c r="L189" s="276">
        <v>1</v>
      </c>
      <c r="M189" s="256">
        <f>$K$6*(I189*$AK$12+IF(J189&gt;30,30*$AK$13+IF(J189&gt;60,30*$AK$14+IF(J189&gt;120,60*$AK$15,(J189-60)*$AK$15),(J189-30)*$AK$14),J189*$AK$13)+$AK$17*K189+L189*$AK$18)</f>
        <v>3052439.3600600003</v>
      </c>
      <c r="N189" s="244" t="s">
        <v>36</v>
      </c>
      <c r="O189" s="256">
        <f>M189</f>
        <v>3052439.3600600003</v>
      </c>
      <c r="P189" s="256">
        <f t="shared" ref="P189:P220" si="41">O189*(1-$AK$19)</f>
        <v>2289329.5200450001</v>
      </c>
      <c r="Q189" s="256">
        <f t="shared" ref="Q189:Q220" si="42">$AK$22*(I189*$AK$12+IF(J189&gt;30,30*$AK$13+IF(J189&gt;60,30*$AK$14+IF(J189&gt;120,60*$AK$15,(J189-60)*$AK$15),(J189-30)*$AK$14),J189*$AK$13)+$AK$17*K189+L189*$AK$18)</f>
        <v>3914337.3460200001</v>
      </c>
      <c r="R189" s="256">
        <f t="shared" ref="R189:R220" si="43">Q189-$AK$20</f>
        <v>3414337.3460200001</v>
      </c>
      <c r="S189" s="256"/>
      <c r="T189" s="289"/>
      <c r="U189" s="270">
        <v>1</v>
      </c>
      <c r="V189" s="113"/>
      <c r="Z189" s="76" t="str">
        <f>C189&amp;A189</f>
        <v>1C3</v>
      </c>
      <c r="AA189" s="77">
        <v>1</v>
      </c>
      <c r="AB189" s="78">
        <v>7.11</v>
      </c>
      <c r="AC189" s="79"/>
      <c r="AE189" s="153"/>
      <c r="AF189" s="153"/>
      <c r="AG189" s="113"/>
      <c r="AI189" s="153"/>
      <c r="AL189" s="130"/>
    </row>
    <row r="190" spans="1:38" ht="16.5" customHeight="1" x14ac:dyDescent="0.25">
      <c r="A190" s="284" t="s">
        <v>160</v>
      </c>
      <c r="B190" s="285">
        <v>39</v>
      </c>
      <c r="C190" s="285">
        <v>2</v>
      </c>
      <c r="D190" s="285" t="s">
        <v>162</v>
      </c>
      <c r="E190" s="286" t="s">
        <v>163</v>
      </c>
      <c r="F190" s="285">
        <v>6</v>
      </c>
      <c r="G190" s="285">
        <v>179.86</v>
      </c>
      <c r="H190" s="92">
        <f t="shared" si="34"/>
        <v>145</v>
      </c>
      <c r="I190" s="285">
        <f t="shared" si="40"/>
        <v>174.631</v>
      </c>
      <c r="J190" s="290">
        <v>61.25</v>
      </c>
      <c r="K190" s="281">
        <f>AB190</f>
        <v>11.22</v>
      </c>
      <c r="L190" s="248">
        <v>1</v>
      </c>
      <c r="M190" s="258">
        <f>$K$6*(I190*$AK$12+IF(J190&gt;30,30*$AK$13+IF(J190&gt;60,30*$AK$14+IF(J190&gt;120,60*$AK$15,(J190-60)*$AK$15),(J190-30)*$AK$14),J190*$AK$13)+$AK$17*K190+L190*$AK$18)</f>
        <v>3534014.5420400002</v>
      </c>
      <c r="N190" s="221" t="s">
        <v>36</v>
      </c>
      <c r="O190" s="258">
        <f t="shared" ref="O190:O253" si="44">M190</f>
        <v>3534014.5420400002</v>
      </c>
      <c r="P190" s="258">
        <f t="shared" si="41"/>
        <v>2650510.9065300003</v>
      </c>
      <c r="Q190" s="258">
        <f t="shared" si="42"/>
        <v>4531891.8646799996</v>
      </c>
      <c r="R190" s="258">
        <f t="shared" si="43"/>
        <v>4031891.8646799996</v>
      </c>
      <c r="S190" s="258"/>
      <c r="T190" s="291"/>
      <c r="U190" s="272">
        <v>2</v>
      </c>
      <c r="V190" s="113"/>
      <c r="Z190" s="80" t="str">
        <f>C190&amp;A190</f>
        <v>2C3</v>
      </c>
      <c r="AA190" s="81">
        <v>2</v>
      </c>
      <c r="AB190" s="82">
        <v>11.22</v>
      </c>
      <c r="AC190" s="83"/>
      <c r="AE190" s="153"/>
      <c r="AF190" s="153"/>
      <c r="AL190" s="130"/>
    </row>
    <row r="191" spans="1:38" ht="16.5" customHeight="1" x14ac:dyDescent="0.25">
      <c r="A191" s="284" t="s">
        <v>160</v>
      </c>
      <c r="B191" s="285">
        <v>39</v>
      </c>
      <c r="C191" s="285">
        <v>3</v>
      </c>
      <c r="D191" s="285" t="s">
        <v>164</v>
      </c>
      <c r="E191" s="285">
        <v>-5</v>
      </c>
      <c r="F191" s="285">
        <v>6</v>
      </c>
      <c r="G191" s="285">
        <v>143.28</v>
      </c>
      <c r="H191" s="92">
        <f t="shared" si="34"/>
        <v>145</v>
      </c>
      <c r="I191" s="285">
        <f t="shared" si="40"/>
        <v>143.28</v>
      </c>
      <c r="J191" s="290">
        <v>203.1</v>
      </c>
      <c r="K191" s="265">
        <f>AB191</f>
        <v>9.43</v>
      </c>
      <c r="L191" s="248">
        <v>1</v>
      </c>
      <c r="M191" s="258">
        <f>$K$6*(I191*$AK$12+IF(J191&gt;30,30*$AK$13+IF(J191&gt;60,30*$AK$14+IF(J191&gt;120,60*$AK$15,(J191-60)*$AK$15),(J191-30)*$AK$14),J191*$AK$13)+$AK$17*K191+L191*$AK$18)</f>
        <v>3062871.7683800003</v>
      </c>
      <c r="N191" s="221" t="s">
        <v>36</v>
      </c>
      <c r="O191" s="258">
        <f t="shared" si="44"/>
        <v>3062871.7683800003</v>
      </c>
      <c r="P191" s="258">
        <f t="shared" si="41"/>
        <v>2297153.826285</v>
      </c>
      <c r="Q191" s="258">
        <f t="shared" si="42"/>
        <v>3927715.48746</v>
      </c>
      <c r="R191" s="258">
        <f t="shared" si="43"/>
        <v>3427715.48746</v>
      </c>
      <c r="S191" s="258"/>
      <c r="T191" s="291"/>
      <c r="U191" s="272">
        <v>3</v>
      </c>
      <c r="V191" s="113"/>
      <c r="Z191" s="80" t="str">
        <f>C191&amp;A191</f>
        <v>3C3</v>
      </c>
      <c r="AA191" s="81">
        <v>3</v>
      </c>
      <c r="AB191" s="82">
        <v>9.43</v>
      </c>
      <c r="AC191" s="84"/>
      <c r="AE191" s="153"/>
      <c r="AF191" s="153"/>
      <c r="AL191" s="130"/>
    </row>
    <row r="192" spans="1:38" ht="16.5" customHeight="1" x14ac:dyDescent="0.25">
      <c r="A192" s="284" t="s">
        <v>160</v>
      </c>
      <c r="B192" s="285">
        <v>39</v>
      </c>
      <c r="C192" s="285">
        <v>4</v>
      </c>
      <c r="D192" s="285" t="s">
        <v>165</v>
      </c>
      <c r="E192" s="285">
        <v>-4</v>
      </c>
      <c r="F192" s="285">
        <v>6</v>
      </c>
      <c r="G192" s="285">
        <v>143.4</v>
      </c>
      <c r="H192" s="92">
        <f t="shared" si="34"/>
        <v>145</v>
      </c>
      <c r="I192" s="285">
        <f t="shared" si="40"/>
        <v>143.4</v>
      </c>
      <c r="J192" s="290">
        <v>18.850000000000001</v>
      </c>
      <c r="K192" s="265">
        <f>AB209</f>
        <v>5.39</v>
      </c>
      <c r="L192" s="248">
        <v>1</v>
      </c>
      <c r="M192" s="258">
        <f>$K$6*(I192*$AK$12+IF(J192&gt;30,30*$AK$13+IF(J192&gt;60,30*$AK$14+IF(J192&gt;120,60*$AK$15,(J192-60)*$AK$15),(J192-30)*$AK$14),J192*$AK$13)+$AK$17*K192+L192*$AK$18)</f>
        <v>2765167.7830400001</v>
      </c>
      <c r="N192" s="221" t="s">
        <v>39</v>
      </c>
      <c r="O192" s="258">
        <f t="shared" si="44"/>
        <v>2765167.7830400001</v>
      </c>
      <c r="P192" s="258">
        <f t="shared" si="41"/>
        <v>2073875.8372800001</v>
      </c>
      <c r="Q192" s="258">
        <f t="shared" si="42"/>
        <v>3545950.7116799997</v>
      </c>
      <c r="R192" s="258">
        <f t="shared" si="43"/>
        <v>3045950.7116799997</v>
      </c>
      <c r="S192" s="258">
        <f t="shared" si="33"/>
        <v>2765167.7830400001</v>
      </c>
      <c r="T192" s="291"/>
      <c r="U192" s="259">
        <v>22</v>
      </c>
      <c r="V192" s="113" t="s">
        <v>291</v>
      </c>
      <c r="W192" t="s">
        <v>291</v>
      </c>
      <c r="X192" t="s">
        <v>291</v>
      </c>
      <c r="Z192" s="209" t="str">
        <f>C210&amp;A210</f>
        <v>22C3</v>
      </c>
      <c r="AA192" s="81">
        <v>4</v>
      </c>
      <c r="AB192" s="82">
        <v>8.85</v>
      </c>
      <c r="AC192" s="84"/>
      <c r="AE192" s="153"/>
      <c r="AF192" s="153"/>
      <c r="AL192" s="130"/>
    </row>
    <row r="193" spans="1:38" ht="16.5" customHeight="1" x14ac:dyDescent="0.25">
      <c r="A193" s="284" t="s">
        <v>160</v>
      </c>
      <c r="B193" s="285">
        <v>39</v>
      </c>
      <c r="C193" s="285">
        <v>5</v>
      </c>
      <c r="D193" s="285" t="s">
        <v>166</v>
      </c>
      <c r="E193" s="285">
        <v>-4</v>
      </c>
      <c r="F193" s="285">
        <v>6</v>
      </c>
      <c r="G193" s="285">
        <v>143.28</v>
      </c>
      <c r="H193" s="92">
        <f t="shared" si="34"/>
        <v>145</v>
      </c>
      <c r="I193" s="285">
        <f t="shared" si="40"/>
        <v>143.28</v>
      </c>
      <c r="J193" s="290">
        <v>21.759999999999998</v>
      </c>
      <c r="K193" s="265">
        <f>AB193</f>
        <v>8.85</v>
      </c>
      <c r="L193" s="260">
        <v>1</v>
      </c>
      <c r="M193" s="258">
        <f>$K$6*(I193*$AK$12+IF(J193&gt;30,30*$AK$13+IF(J193&gt;60,30*$AK$14+IF(J193&gt;120,60*$AK$15,(J193-60)*$AK$15),(J193-30)*$AK$14),J193*$AK$13)+$AK$17*K193+L193*$AK$18)</f>
        <v>2797606.05266</v>
      </c>
      <c r="N193" s="221" t="s">
        <v>36</v>
      </c>
      <c r="O193" s="258">
        <f t="shared" si="44"/>
        <v>2797606.05266</v>
      </c>
      <c r="P193" s="258">
        <f t="shared" si="41"/>
        <v>2098204.5394950002</v>
      </c>
      <c r="Q193" s="258">
        <f t="shared" si="42"/>
        <v>3587548.3702199995</v>
      </c>
      <c r="R193" s="258">
        <f t="shared" si="43"/>
        <v>3087548.3702199995</v>
      </c>
      <c r="S193" s="258"/>
      <c r="T193" s="291"/>
      <c r="U193" s="259">
        <v>5</v>
      </c>
      <c r="V193" s="113"/>
      <c r="Z193" s="80" t="str">
        <f>C193&amp;A193</f>
        <v>5C3</v>
      </c>
      <c r="AA193" s="81">
        <v>5</v>
      </c>
      <c r="AB193" s="82">
        <v>8.85</v>
      </c>
      <c r="AC193" s="84"/>
      <c r="AE193" s="153"/>
      <c r="AF193" s="153"/>
      <c r="AL193" s="130"/>
    </row>
    <row r="194" spans="1:38" ht="16.5" customHeight="1" x14ac:dyDescent="0.25">
      <c r="A194" s="284" t="s">
        <v>160</v>
      </c>
      <c r="B194" s="285">
        <v>39</v>
      </c>
      <c r="C194" s="285">
        <v>6</v>
      </c>
      <c r="D194" s="285" t="s">
        <v>167</v>
      </c>
      <c r="E194" s="285">
        <v>-3</v>
      </c>
      <c r="F194" s="285">
        <v>6</v>
      </c>
      <c r="G194" s="285">
        <v>143.4</v>
      </c>
      <c r="H194" s="92">
        <f t="shared" si="34"/>
        <v>145</v>
      </c>
      <c r="I194" s="285">
        <f t="shared" si="40"/>
        <v>143.4</v>
      </c>
      <c r="J194" s="290">
        <v>30.81</v>
      </c>
      <c r="K194" s="248">
        <f>AB194</f>
        <v>8.85</v>
      </c>
      <c r="L194" s="248">
        <v>1</v>
      </c>
      <c r="M194" s="258">
        <f>$K$6*(I194*$AK$12+IF(J194&gt;30,30*$AK$13+IF(J194&gt;60,30*$AK$14+IF(J194&gt;120,60*$AK$15,(J194-60)*$AK$15),(J194-30)*$AK$14),J194*$AK$13)+$AK$17*K194+L194*$AK$18)</f>
        <v>2847486.0049400004</v>
      </c>
      <c r="N194" s="221" t="s">
        <v>36</v>
      </c>
      <c r="O194" s="258">
        <f t="shared" si="44"/>
        <v>2847486.0049400004</v>
      </c>
      <c r="P194" s="258">
        <f t="shared" si="41"/>
        <v>2135614.5037050005</v>
      </c>
      <c r="Q194" s="258">
        <f t="shared" si="42"/>
        <v>3651512.60898</v>
      </c>
      <c r="R194" s="258">
        <f t="shared" si="43"/>
        <v>3151512.60898</v>
      </c>
      <c r="S194" s="258"/>
      <c r="T194" s="291"/>
      <c r="U194" s="259">
        <v>6</v>
      </c>
      <c r="V194" s="113"/>
      <c r="Z194" s="80" t="str">
        <f>C194&amp;A194</f>
        <v>6C3</v>
      </c>
      <c r="AA194" s="81">
        <v>6</v>
      </c>
      <c r="AB194" s="82">
        <v>8.85</v>
      </c>
      <c r="AC194" s="84"/>
      <c r="AE194" s="153"/>
      <c r="AF194" s="153"/>
      <c r="AL194" s="130"/>
    </row>
    <row r="195" spans="1:38" ht="16.5" customHeight="1" x14ac:dyDescent="0.25">
      <c r="A195" s="284" t="s">
        <v>160</v>
      </c>
      <c r="B195" s="285">
        <v>39</v>
      </c>
      <c r="C195" s="285">
        <v>7</v>
      </c>
      <c r="D195" s="285" t="s">
        <v>168</v>
      </c>
      <c r="E195" s="285">
        <v>-3</v>
      </c>
      <c r="F195" s="285">
        <v>3</v>
      </c>
      <c r="G195" s="285">
        <v>88.64</v>
      </c>
      <c r="H195" s="92">
        <f t="shared" si="34"/>
        <v>90</v>
      </c>
      <c r="I195" s="285">
        <f t="shared" si="40"/>
        <v>88.64</v>
      </c>
      <c r="J195" s="290">
        <v>30</v>
      </c>
      <c r="K195" s="248">
        <f>AB195</f>
        <v>9.24</v>
      </c>
      <c r="L195" s="248">
        <v>1</v>
      </c>
      <c r="M195" s="258">
        <f>$K$6*(I195*$AK$12+IF(J195&gt;30,30*$AK$13+IF(J195&gt;60,30*$AK$14+IF(J195&gt;120,60*$AK$15,(J195-60)*$AK$15),(J195-30)*$AK$14),J195*$AK$13)+$AK$17*K195+L195*$AK$18)</f>
        <v>1854867.7098400001</v>
      </c>
      <c r="N195" s="221" t="s">
        <v>39</v>
      </c>
      <c r="O195" s="258">
        <f t="shared" si="44"/>
        <v>1854867.7098400001</v>
      </c>
      <c r="P195" s="258">
        <f t="shared" si="41"/>
        <v>1391150.7823800002</v>
      </c>
      <c r="Q195" s="258">
        <f t="shared" si="42"/>
        <v>2378614.96728</v>
      </c>
      <c r="R195" s="258">
        <f t="shared" si="43"/>
        <v>1878614.96728</v>
      </c>
      <c r="S195" s="258">
        <f t="shared" si="33"/>
        <v>1854867.7098400001</v>
      </c>
      <c r="T195" s="291"/>
      <c r="U195" s="259">
        <v>7</v>
      </c>
      <c r="V195" s="113" t="s">
        <v>291</v>
      </c>
      <c r="W195" t="s">
        <v>291</v>
      </c>
      <c r="X195" t="s">
        <v>291</v>
      </c>
      <c r="Z195" s="80" t="str">
        <f>C195&amp;A195</f>
        <v>7C3</v>
      </c>
      <c r="AA195" s="81">
        <v>7</v>
      </c>
      <c r="AB195" s="82">
        <v>9.24</v>
      </c>
      <c r="AC195" s="84"/>
      <c r="AE195" s="153"/>
      <c r="AF195" s="153"/>
      <c r="AL195" s="130"/>
    </row>
    <row r="196" spans="1:38" ht="16.5" customHeight="1" x14ac:dyDescent="0.25">
      <c r="A196" s="284" t="s">
        <v>160</v>
      </c>
      <c r="B196" s="285">
        <v>39</v>
      </c>
      <c r="C196" s="285">
        <v>8</v>
      </c>
      <c r="D196" s="285" t="s">
        <v>169</v>
      </c>
      <c r="E196" s="285">
        <v>-3</v>
      </c>
      <c r="F196" s="285">
        <v>6</v>
      </c>
      <c r="G196" s="285">
        <v>143.28</v>
      </c>
      <c r="H196" s="92">
        <f t="shared" si="34"/>
        <v>145</v>
      </c>
      <c r="I196" s="285">
        <f t="shared" si="40"/>
        <v>143.28</v>
      </c>
      <c r="J196" s="290">
        <v>29.17</v>
      </c>
      <c r="K196" s="248">
        <f>AB196</f>
        <v>9.24</v>
      </c>
      <c r="L196" s="248">
        <v>1</v>
      </c>
      <c r="M196" s="258">
        <f>$K$6*(I196*$AK$12+IF(J196&gt;30,30*$AK$13+IF(J196&gt;60,30*$AK$14+IF(J196&gt;120,60*$AK$15,(J196-60)*$AK$15),(J196-30)*$AK$14),J196*$AK$13)+$AK$17*K196+L196*$AK$18)</f>
        <v>2839987.7114599999</v>
      </c>
      <c r="N196" s="221" t="s">
        <v>36</v>
      </c>
      <c r="O196" s="258">
        <f t="shared" si="44"/>
        <v>2839987.7114599999</v>
      </c>
      <c r="P196" s="258">
        <f t="shared" si="41"/>
        <v>2129990.7835949999</v>
      </c>
      <c r="Q196" s="258">
        <f t="shared" si="42"/>
        <v>3641897.0698199999</v>
      </c>
      <c r="R196" s="258">
        <f t="shared" si="43"/>
        <v>3141897.0698199999</v>
      </c>
      <c r="S196" s="258"/>
      <c r="T196" s="291"/>
      <c r="U196" s="259">
        <v>8</v>
      </c>
      <c r="V196" s="113"/>
      <c r="Z196" s="80" t="str">
        <f>C196&amp;A196</f>
        <v>8C3</v>
      </c>
      <c r="AA196" s="81">
        <v>8</v>
      </c>
      <c r="AB196" s="82">
        <v>9.24</v>
      </c>
      <c r="AC196" s="84"/>
      <c r="AE196" s="153"/>
      <c r="AF196" s="153"/>
      <c r="AL196" s="130"/>
    </row>
    <row r="197" spans="1:38" ht="16.5" customHeight="1" x14ac:dyDescent="0.25">
      <c r="A197" s="284" t="s">
        <v>160</v>
      </c>
      <c r="B197" s="285">
        <v>39</v>
      </c>
      <c r="C197" s="285">
        <v>9</v>
      </c>
      <c r="D197" s="285" t="s">
        <v>170</v>
      </c>
      <c r="E197" s="285">
        <v>-2</v>
      </c>
      <c r="F197" s="285">
        <v>6</v>
      </c>
      <c r="G197" s="285">
        <v>143.4</v>
      </c>
      <c r="H197" s="92">
        <f t="shared" si="34"/>
        <v>145</v>
      </c>
      <c r="I197" s="285">
        <f t="shared" si="40"/>
        <v>143.4</v>
      </c>
      <c r="J197" s="290">
        <v>25.79</v>
      </c>
      <c r="K197" s="248">
        <f>AB197</f>
        <v>9.24</v>
      </c>
      <c r="L197" s="260">
        <v>1</v>
      </c>
      <c r="M197" s="258">
        <f>$K$6*(I197*$AK$12+IF(J197&gt;30,30*$AK$13+IF(J197&gt;60,30*$AK$14+IF(J197&gt;120,60*$AK$15,(J197-60)*$AK$15),(J197-30)*$AK$14),J197*$AK$13)+$AK$17*K197+L197*$AK$18)</f>
        <v>2823795.7443799996</v>
      </c>
      <c r="N197" s="221" t="s">
        <v>36</v>
      </c>
      <c r="O197" s="258">
        <f t="shared" si="44"/>
        <v>2823795.7443799996</v>
      </c>
      <c r="P197" s="258">
        <f t="shared" si="41"/>
        <v>2117846.8082849998</v>
      </c>
      <c r="Q197" s="258">
        <f t="shared" si="42"/>
        <v>3621133.0794599997</v>
      </c>
      <c r="R197" s="258">
        <f t="shared" si="43"/>
        <v>3121133.0794599997</v>
      </c>
      <c r="S197" s="258"/>
      <c r="T197" s="291"/>
      <c r="U197" s="259">
        <v>9</v>
      </c>
      <c r="V197" s="113"/>
      <c r="Z197" s="80" t="str">
        <f>C197&amp;A197</f>
        <v>9C3</v>
      </c>
      <c r="AA197" s="81">
        <v>9</v>
      </c>
      <c r="AB197" s="82">
        <v>9.24</v>
      </c>
      <c r="AC197" s="84"/>
      <c r="AE197" s="153"/>
      <c r="AF197" s="153"/>
      <c r="AL197" s="130"/>
    </row>
    <row r="198" spans="1:38" ht="16.5" customHeight="1" x14ac:dyDescent="0.25">
      <c r="A198" s="284" t="s">
        <v>160</v>
      </c>
      <c r="B198" s="285">
        <v>39</v>
      </c>
      <c r="C198" s="285">
        <v>10</v>
      </c>
      <c r="D198" s="285" t="s">
        <v>171</v>
      </c>
      <c r="E198" s="285">
        <v>-2</v>
      </c>
      <c r="F198" s="285">
        <v>3</v>
      </c>
      <c r="G198" s="285">
        <v>88.64</v>
      </c>
      <c r="H198" s="92">
        <f t="shared" si="34"/>
        <v>90</v>
      </c>
      <c r="I198" s="285">
        <f t="shared" si="40"/>
        <v>88.64</v>
      </c>
      <c r="J198" s="290">
        <v>16.920000000000002</v>
      </c>
      <c r="K198" s="248">
        <f>AB198</f>
        <v>9.81</v>
      </c>
      <c r="L198" s="248">
        <v>1</v>
      </c>
      <c r="M198" s="258">
        <f>$K$6*(I198*$AK$12+IF(J198&gt;30,30*$AK$13+IF(J198&gt;60,30*$AK$14+IF(J198&gt;120,60*$AK$15,(J198-60)*$AK$15),(J198-30)*$AK$14),J198*$AK$13)+$AK$17*K198+L198*$AK$18)</f>
        <v>1786894.04938</v>
      </c>
      <c r="N198" s="221" t="s">
        <v>39</v>
      </c>
      <c r="O198" s="258">
        <f t="shared" si="44"/>
        <v>1786894.04938</v>
      </c>
      <c r="P198" s="258">
        <f t="shared" si="41"/>
        <v>1340170.537035</v>
      </c>
      <c r="Q198" s="258">
        <f t="shared" si="42"/>
        <v>2291448.0144600002</v>
      </c>
      <c r="R198" s="258">
        <f t="shared" si="43"/>
        <v>1791448.0144600002</v>
      </c>
      <c r="S198" s="258">
        <f t="shared" si="33"/>
        <v>1786894.04938</v>
      </c>
      <c r="T198" s="291"/>
      <c r="U198" s="259">
        <v>10</v>
      </c>
      <c r="V198" s="113" t="s">
        <v>291</v>
      </c>
      <c r="W198" t="s">
        <v>291</v>
      </c>
      <c r="X198" t="s">
        <v>291</v>
      </c>
      <c r="Z198" s="80" t="str">
        <f>C198&amp;A198</f>
        <v>10C3</v>
      </c>
      <c r="AA198" s="81">
        <v>10</v>
      </c>
      <c r="AB198" s="82">
        <v>9.81</v>
      </c>
      <c r="AC198" s="84"/>
      <c r="AE198" s="153"/>
      <c r="AF198" s="153"/>
      <c r="AL198" s="130"/>
    </row>
    <row r="199" spans="1:38" ht="16.5" customHeight="1" x14ac:dyDescent="0.25">
      <c r="A199" s="284" t="s">
        <v>160</v>
      </c>
      <c r="B199" s="285">
        <v>39</v>
      </c>
      <c r="C199" s="285">
        <v>11</v>
      </c>
      <c r="D199" s="285" t="s">
        <v>172</v>
      </c>
      <c r="E199" s="285">
        <v>-2</v>
      </c>
      <c r="F199" s="285">
        <v>6</v>
      </c>
      <c r="G199" s="285">
        <v>143.28</v>
      </c>
      <c r="H199" s="92">
        <f t="shared" si="34"/>
        <v>145</v>
      </c>
      <c r="I199" s="285">
        <f t="shared" si="40"/>
        <v>143.28</v>
      </c>
      <c r="J199" s="290">
        <v>25.28</v>
      </c>
      <c r="K199" s="248">
        <f>AB199</f>
        <v>8.82</v>
      </c>
      <c r="L199" s="248">
        <v>1</v>
      </c>
      <c r="M199" s="258">
        <f>$K$6*(I199*$AK$12+IF(J199&gt;30,30*$AK$13+IF(J199&gt;60,30*$AK$14+IF(J199&gt;120,60*$AK$15,(J199-60)*$AK$15),(J199-30)*$AK$14),J199*$AK$13)+$AK$17*K199+L199*$AK$18)</f>
        <v>2816569.1281999997</v>
      </c>
      <c r="N199" s="221" t="s">
        <v>36</v>
      </c>
      <c r="O199" s="258">
        <f t="shared" si="44"/>
        <v>2816569.1281999997</v>
      </c>
      <c r="P199" s="258">
        <f t="shared" si="41"/>
        <v>2112426.8461499996</v>
      </c>
      <c r="Q199" s="258">
        <f t="shared" si="42"/>
        <v>3611865.9293999998</v>
      </c>
      <c r="R199" s="258">
        <f t="shared" si="43"/>
        <v>3111865.9293999998</v>
      </c>
      <c r="S199" s="258"/>
      <c r="T199" s="291"/>
      <c r="U199" s="259">
        <v>11</v>
      </c>
      <c r="V199" s="113"/>
      <c r="Z199" s="80" t="str">
        <f>C199&amp;A199</f>
        <v>11C3</v>
      </c>
      <c r="AA199" s="81">
        <v>11</v>
      </c>
      <c r="AB199" s="82">
        <v>8.82</v>
      </c>
      <c r="AC199" s="84"/>
      <c r="AE199" s="153"/>
      <c r="AF199" s="153"/>
      <c r="AL199" s="130"/>
    </row>
    <row r="200" spans="1:38" ht="16.5" customHeight="1" x14ac:dyDescent="0.25">
      <c r="A200" s="284" t="s">
        <v>160</v>
      </c>
      <c r="B200" s="285">
        <v>39</v>
      </c>
      <c r="C200" s="285">
        <v>12</v>
      </c>
      <c r="D200" s="285" t="s">
        <v>173</v>
      </c>
      <c r="E200" s="285">
        <v>-1</v>
      </c>
      <c r="F200" s="285">
        <v>6</v>
      </c>
      <c r="G200" s="285">
        <v>143.4</v>
      </c>
      <c r="H200" s="92">
        <f t="shared" si="34"/>
        <v>145</v>
      </c>
      <c r="I200" s="285">
        <f t="shared" si="40"/>
        <v>143.4</v>
      </c>
      <c r="J200" s="290">
        <v>26.17</v>
      </c>
      <c r="K200" s="248">
        <f>AB200</f>
        <v>7.92</v>
      </c>
      <c r="L200" s="248">
        <v>1</v>
      </c>
      <c r="M200" s="258">
        <f>$K$6*(I200*$AK$12+IF(J200&gt;30,30*$AK$13+IF(J200&gt;60,30*$AK$14+IF(J200&gt;120,60*$AK$15,(J200-60)*$AK$15),(J200-30)*$AK$14),J200*$AK$13)+$AK$17*K200+L200*$AK$18)</f>
        <v>2818688.2111400003</v>
      </c>
      <c r="N200" s="221" t="s">
        <v>36</v>
      </c>
      <c r="O200" s="258">
        <f t="shared" si="44"/>
        <v>2818688.2111400003</v>
      </c>
      <c r="P200" s="258">
        <f t="shared" si="41"/>
        <v>2114016.1583550004</v>
      </c>
      <c r="Q200" s="258">
        <f t="shared" si="42"/>
        <v>3614583.3643800002</v>
      </c>
      <c r="R200" s="258">
        <f t="shared" si="43"/>
        <v>3114583.3643800002</v>
      </c>
      <c r="S200" s="258"/>
      <c r="T200" s="291"/>
      <c r="U200" s="259">
        <v>12</v>
      </c>
      <c r="V200" s="113"/>
      <c r="Z200" s="80" t="str">
        <f>C200&amp;A200</f>
        <v>12C3</v>
      </c>
      <c r="AA200" s="81">
        <v>12</v>
      </c>
      <c r="AB200" s="82">
        <v>7.92</v>
      </c>
      <c r="AC200" s="84"/>
      <c r="AE200" s="153"/>
      <c r="AF200" s="153"/>
      <c r="AL200" s="130"/>
    </row>
    <row r="201" spans="1:38" ht="16.5" customHeight="1" x14ac:dyDescent="0.25">
      <c r="A201" s="284" t="s">
        <v>160</v>
      </c>
      <c r="B201" s="285">
        <v>39</v>
      </c>
      <c r="C201" s="285">
        <v>13</v>
      </c>
      <c r="D201" s="285" t="s">
        <v>174</v>
      </c>
      <c r="E201" s="285">
        <v>-1</v>
      </c>
      <c r="F201" s="285">
        <v>3</v>
      </c>
      <c r="G201" s="285">
        <v>88.64</v>
      </c>
      <c r="H201" s="92">
        <f t="shared" si="34"/>
        <v>90</v>
      </c>
      <c r="I201" s="285">
        <f t="shared" si="40"/>
        <v>88.64</v>
      </c>
      <c r="J201" s="290">
        <v>7.45</v>
      </c>
      <c r="K201" s="248">
        <f>AB201</f>
        <v>5.14</v>
      </c>
      <c r="L201" s="260">
        <v>1</v>
      </c>
      <c r="M201" s="258">
        <f>$K$6*(I201*$AK$12+IF(J201&gt;30,30*$AK$13+IF(J201&gt;60,30*$AK$14+IF(J201&gt;120,60*$AK$15,(J201-60)*$AK$15),(J201-30)*$AK$14),J201*$AK$13)+$AK$17*K201+L201*$AK$18)</f>
        <v>1710063.70894</v>
      </c>
      <c r="N201" s="221" t="s">
        <v>39</v>
      </c>
      <c r="O201" s="258">
        <f t="shared" si="44"/>
        <v>1710063.70894</v>
      </c>
      <c r="P201" s="258">
        <f t="shared" si="41"/>
        <v>1282547.781705</v>
      </c>
      <c r="Q201" s="258">
        <f t="shared" si="42"/>
        <v>2192923.5769799999</v>
      </c>
      <c r="R201" s="258">
        <f t="shared" si="43"/>
        <v>1692923.5769799999</v>
      </c>
      <c r="S201" s="258">
        <f t="shared" ref="S201:S254" si="45">IF(R201&lt;P201,P201,MIN(R201,O201))</f>
        <v>1692923.5769799999</v>
      </c>
      <c r="T201" s="291"/>
      <c r="U201" s="259">
        <v>13</v>
      </c>
      <c r="V201" s="113" t="s">
        <v>291</v>
      </c>
      <c r="W201" t="s">
        <v>291</v>
      </c>
      <c r="X201" t="s">
        <v>291</v>
      </c>
      <c r="Z201" s="80" t="str">
        <f>C201&amp;A201</f>
        <v>13C3</v>
      </c>
      <c r="AA201" s="81">
        <v>13</v>
      </c>
      <c r="AB201" s="82">
        <v>5.14</v>
      </c>
      <c r="AC201" s="84"/>
      <c r="AE201" s="153"/>
      <c r="AF201" s="153"/>
      <c r="AL201" s="130"/>
    </row>
    <row r="202" spans="1:38" ht="16.5" customHeight="1" x14ac:dyDescent="0.25">
      <c r="A202" s="284" t="s">
        <v>160</v>
      </c>
      <c r="B202" s="285">
        <v>39</v>
      </c>
      <c r="C202" s="285">
        <v>14</v>
      </c>
      <c r="D202" s="285" t="s">
        <v>175</v>
      </c>
      <c r="E202" s="285">
        <v>-1</v>
      </c>
      <c r="F202" s="285">
        <v>6</v>
      </c>
      <c r="G202" s="285">
        <v>143.28</v>
      </c>
      <c r="H202" s="92">
        <f t="shared" si="34"/>
        <v>145</v>
      </c>
      <c r="I202" s="285">
        <f t="shared" si="40"/>
        <v>143.28</v>
      </c>
      <c r="J202" s="290">
        <v>25.66</v>
      </c>
      <c r="K202" s="248">
        <f>AB202</f>
        <v>9.25</v>
      </c>
      <c r="L202" s="248">
        <v>1</v>
      </c>
      <c r="M202" s="258">
        <f>$K$6*(I202*$AK$12+IF(J202&gt;30,30*$AK$13+IF(J202&gt;60,30*$AK$14+IF(J202&gt;120,60*$AK$15,(J202-60)*$AK$15),(J202-30)*$AK$14),J202*$AK$13)+$AK$17*K202+L202*$AK$18)</f>
        <v>2820970.3004600001</v>
      </c>
      <c r="N202" s="221" t="s">
        <v>36</v>
      </c>
      <c r="O202" s="258">
        <f t="shared" si="44"/>
        <v>2820970.3004600001</v>
      </c>
      <c r="P202" s="258">
        <f t="shared" si="41"/>
        <v>2115727.7253450002</v>
      </c>
      <c r="Q202" s="258">
        <f t="shared" si="42"/>
        <v>3617509.8328200001</v>
      </c>
      <c r="R202" s="258">
        <f t="shared" si="43"/>
        <v>3117509.8328200001</v>
      </c>
      <c r="S202" s="258"/>
      <c r="T202" s="291"/>
      <c r="U202" s="259">
        <v>14</v>
      </c>
      <c r="V202" s="113"/>
      <c r="Z202" s="80" t="str">
        <f>C202&amp;A202</f>
        <v>14C3</v>
      </c>
      <c r="AA202" s="81">
        <v>14</v>
      </c>
      <c r="AB202" s="82">
        <v>9.25</v>
      </c>
      <c r="AC202" s="84"/>
      <c r="AE202" s="153"/>
      <c r="AF202" s="153"/>
      <c r="AL202" s="130"/>
    </row>
    <row r="203" spans="1:38" ht="16.5" customHeight="1" x14ac:dyDescent="0.25">
      <c r="A203" s="284" t="s">
        <v>160</v>
      </c>
      <c r="B203" s="285">
        <v>39</v>
      </c>
      <c r="C203" s="285">
        <v>15</v>
      </c>
      <c r="D203" s="285" t="s">
        <v>176</v>
      </c>
      <c r="E203" s="286" t="s">
        <v>177</v>
      </c>
      <c r="F203" s="285">
        <v>6</v>
      </c>
      <c r="G203" s="285">
        <v>143.4</v>
      </c>
      <c r="H203" s="92">
        <f t="shared" si="34"/>
        <v>145</v>
      </c>
      <c r="I203" s="285">
        <f t="shared" si="40"/>
        <v>143.4</v>
      </c>
      <c r="J203" s="290">
        <v>16.170000000000002</v>
      </c>
      <c r="K203" s="248">
        <f>AB203</f>
        <v>7.4</v>
      </c>
      <c r="L203" s="248">
        <v>1</v>
      </c>
      <c r="M203" s="258">
        <f>$K$6*(I203*$AK$12+IF(J203&gt;30,30*$AK$13+IF(J203&gt;60,30*$AK$14+IF(J203&gt;120,60*$AK$15,(J203-60)*$AK$15),(J203-30)*$AK$14),J203*$AK$13)+$AK$17*K203+L203*$AK$18)</f>
        <v>2761527.3072199998</v>
      </c>
      <c r="N203" s="221" t="s">
        <v>39</v>
      </c>
      <c r="O203" s="258">
        <f t="shared" si="44"/>
        <v>2761527.3072199998</v>
      </c>
      <c r="P203" s="258">
        <f t="shared" si="41"/>
        <v>2071145.4804149999</v>
      </c>
      <c r="Q203" s="258">
        <f t="shared" si="42"/>
        <v>3541282.2977399998</v>
      </c>
      <c r="R203" s="258">
        <f t="shared" si="43"/>
        <v>3041282.2977399998</v>
      </c>
      <c r="S203" s="258">
        <f t="shared" si="45"/>
        <v>2761527.3072199998</v>
      </c>
      <c r="T203" s="291"/>
      <c r="U203" s="259">
        <v>15</v>
      </c>
      <c r="V203" s="113" t="s">
        <v>291</v>
      </c>
      <c r="W203" t="s">
        <v>291</v>
      </c>
      <c r="X203" t="s">
        <v>291</v>
      </c>
      <c r="Z203" s="80" t="str">
        <f>C203&amp;A203</f>
        <v>15C3</v>
      </c>
      <c r="AA203" s="81">
        <v>15</v>
      </c>
      <c r="AB203" s="82">
        <v>7.4</v>
      </c>
      <c r="AC203" s="84"/>
      <c r="AE203" s="153"/>
      <c r="AF203" s="153"/>
      <c r="AL203" s="130"/>
    </row>
    <row r="204" spans="1:38" ht="16.5" customHeight="1" x14ac:dyDescent="0.25">
      <c r="A204" s="284" t="s">
        <v>160</v>
      </c>
      <c r="B204" s="285">
        <v>39</v>
      </c>
      <c r="C204" s="285">
        <v>16</v>
      </c>
      <c r="D204" s="285" t="s">
        <v>178</v>
      </c>
      <c r="E204" s="286" t="s">
        <v>177</v>
      </c>
      <c r="F204" s="285">
        <v>3</v>
      </c>
      <c r="G204" s="285">
        <v>78.47</v>
      </c>
      <c r="H204" s="92">
        <f t="shared" si="34"/>
        <v>90</v>
      </c>
      <c r="I204" s="285">
        <f t="shared" si="40"/>
        <v>78.47</v>
      </c>
      <c r="J204" s="290">
        <v>18.14</v>
      </c>
      <c r="K204" s="248">
        <f>AB204</f>
        <v>9.9</v>
      </c>
      <c r="L204" s="248">
        <v>1</v>
      </c>
      <c r="M204" s="258">
        <f>$K$6*(I204*$AK$12+IF(J204&gt;30,30*$AK$13+IF(J204&gt;60,30*$AK$14+IF(J204&gt;120,60*$AK$15,(J204-60)*$AK$15),(J204-30)*$AK$14),J204*$AK$13)+$AK$17*K204+L204*$AK$18)</f>
        <v>1609814.7852400001</v>
      </c>
      <c r="N204" s="221" t="s">
        <v>39</v>
      </c>
      <c r="O204" s="258">
        <f t="shared" si="44"/>
        <v>1609814.7852400001</v>
      </c>
      <c r="P204" s="258">
        <f t="shared" si="41"/>
        <v>1207361.0889300001</v>
      </c>
      <c r="Q204" s="258">
        <f t="shared" si="42"/>
        <v>2064367.99908</v>
      </c>
      <c r="R204" s="258">
        <f t="shared" si="43"/>
        <v>1564367.99908</v>
      </c>
      <c r="S204" s="258">
        <f t="shared" si="45"/>
        <v>1564367.99908</v>
      </c>
      <c r="T204" s="291"/>
      <c r="U204" s="259">
        <v>16</v>
      </c>
      <c r="V204" s="113" t="s">
        <v>291</v>
      </c>
      <c r="W204" t="s">
        <v>291</v>
      </c>
      <c r="X204" t="s">
        <v>291</v>
      </c>
      <c r="Z204" s="80" t="str">
        <f>C204&amp;A204</f>
        <v>16C3</v>
      </c>
      <c r="AA204" s="81">
        <v>16</v>
      </c>
      <c r="AB204" s="82">
        <v>9.9</v>
      </c>
      <c r="AC204" s="84"/>
      <c r="AE204" s="153"/>
      <c r="AF204" s="153"/>
      <c r="AL204" s="130"/>
    </row>
    <row r="205" spans="1:38" ht="16.5" customHeight="1" x14ac:dyDescent="0.25">
      <c r="A205" s="284" t="s">
        <v>160</v>
      </c>
      <c r="B205" s="285">
        <v>39</v>
      </c>
      <c r="C205" s="285">
        <v>17</v>
      </c>
      <c r="D205" s="285" t="s">
        <v>179</v>
      </c>
      <c r="E205" s="286" t="s">
        <v>177</v>
      </c>
      <c r="F205" s="285">
        <v>6</v>
      </c>
      <c r="G205" s="285">
        <v>143.28</v>
      </c>
      <c r="H205" s="92">
        <f t="shared" si="34"/>
        <v>145</v>
      </c>
      <c r="I205" s="285">
        <f t="shared" si="40"/>
        <v>143.28</v>
      </c>
      <c r="J205" s="290">
        <v>15.64</v>
      </c>
      <c r="K205" s="248">
        <f>AB205</f>
        <v>8.14</v>
      </c>
      <c r="L205" s="260">
        <v>1</v>
      </c>
      <c r="M205" s="258">
        <f>$K$6*(I205*$AK$12+IF(J205&gt;30,30*$AK$13+IF(J205&gt;60,30*$AK$14+IF(J205&gt;120,60*$AK$15,(J205-60)*$AK$15),(J205-30)*$AK$14),J205*$AK$13)+$AK$17*K205+L205*$AK$18)</f>
        <v>2760494.9334800001</v>
      </c>
      <c r="N205" s="221" t="s">
        <v>39</v>
      </c>
      <c r="O205" s="258">
        <f t="shared" si="44"/>
        <v>2760494.9334800001</v>
      </c>
      <c r="P205" s="258">
        <f t="shared" si="41"/>
        <v>2070371.2001100001</v>
      </c>
      <c r="Q205" s="258">
        <f t="shared" si="42"/>
        <v>3539958.41916</v>
      </c>
      <c r="R205" s="258">
        <f t="shared" si="43"/>
        <v>3039958.41916</v>
      </c>
      <c r="S205" s="258">
        <f t="shared" si="45"/>
        <v>2760494.9334800001</v>
      </c>
      <c r="T205" s="291"/>
      <c r="U205" s="259">
        <v>17</v>
      </c>
      <c r="V205" s="113" t="s">
        <v>291</v>
      </c>
      <c r="W205" t="s">
        <v>291</v>
      </c>
      <c r="X205" t="s">
        <v>291</v>
      </c>
      <c r="Z205" s="80" t="str">
        <f>C205&amp;A205</f>
        <v>17C3</v>
      </c>
      <c r="AA205" s="81">
        <v>17</v>
      </c>
      <c r="AB205" s="82">
        <v>8.14</v>
      </c>
      <c r="AC205" s="84"/>
      <c r="AE205" s="153"/>
      <c r="AF205" s="153"/>
      <c r="AL205" s="130"/>
    </row>
    <row r="206" spans="1:38" ht="16.5" customHeight="1" x14ac:dyDescent="0.25">
      <c r="A206" s="284" t="s">
        <v>160</v>
      </c>
      <c r="B206" s="285">
        <v>39</v>
      </c>
      <c r="C206" s="285">
        <v>18</v>
      </c>
      <c r="D206" s="285" t="s">
        <v>180</v>
      </c>
      <c r="E206" s="287" t="s">
        <v>181</v>
      </c>
      <c r="F206" s="285">
        <v>6</v>
      </c>
      <c r="G206" s="285">
        <v>143.4</v>
      </c>
      <c r="H206" s="92">
        <f t="shared" si="34"/>
        <v>145</v>
      </c>
      <c r="I206" s="285">
        <f t="shared" si="40"/>
        <v>143.4</v>
      </c>
      <c r="J206" s="290">
        <v>16.12</v>
      </c>
      <c r="K206" s="248">
        <f>AB206</f>
        <v>8.14</v>
      </c>
      <c r="L206" s="248">
        <v>1</v>
      </c>
      <c r="M206" s="258">
        <f>$K$6*(I206*$AK$12+IF(J206&gt;30,30*$AK$13+IF(J206&gt;60,30*$AK$14+IF(J206&gt;120,60*$AK$15,(J206-60)*$AK$15),(J206-30)*$AK$14),J206*$AK$13)+$AK$17*K206+L206*$AK$18)</f>
        <v>2765276.4539600005</v>
      </c>
      <c r="N206" s="221" t="s">
        <v>39</v>
      </c>
      <c r="O206" s="258">
        <f t="shared" si="44"/>
        <v>2765276.4539600005</v>
      </c>
      <c r="P206" s="258">
        <f t="shared" si="41"/>
        <v>2073957.3404700004</v>
      </c>
      <c r="Q206" s="258">
        <f t="shared" si="42"/>
        <v>3546090.0673200004</v>
      </c>
      <c r="R206" s="258">
        <f t="shared" si="43"/>
        <v>3046090.0673200004</v>
      </c>
      <c r="S206" s="258">
        <f t="shared" si="45"/>
        <v>2765276.4539600005</v>
      </c>
      <c r="T206" s="291"/>
      <c r="U206" s="259">
        <v>18</v>
      </c>
      <c r="V206" s="113" t="s">
        <v>291</v>
      </c>
      <c r="W206" t="s">
        <v>291</v>
      </c>
      <c r="X206" t="s">
        <v>291</v>
      </c>
      <c r="Z206" s="80" t="str">
        <f>C206&amp;A206</f>
        <v>18C3</v>
      </c>
      <c r="AA206" s="81">
        <v>18</v>
      </c>
      <c r="AB206" s="82">
        <v>8.14</v>
      </c>
      <c r="AC206" s="84"/>
      <c r="AE206" s="153"/>
      <c r="AF206" s="153"/>
      <c r="AL206" s="130"/>
    </row>
    <row r="207" spans="1:38" ht="16.5" customHeight="1" x14ac:dyDescent="0.25">
      <c r="A207" s="284" t="s">
        <v>160</v>
      </c>
      <c r="B207" s="285">
        <v>39</v>
      </c>
      <c r="C207" s="285">
        <v>19</v>
      </c>
      <c r="D207" s="285" t="s">
        <v>182</v>
      </c>
      <c r="E207" s="287" t="s">
        <v>181</v>
      </c>
      <c r="F207" s="285">
        <v>3</v>
      </c>
      <c r="G207" s="285">
        <v>78.47</v>
      </c>
      <c r="H207" s="92">
        <f t="shared" si="34"/>
        <v>90</v>
      </c>
      <c r="I207" s="285">
        <f t="shared" si="40"/>
        <v>78.47</v>
      </c>
      <c r="J207" s="290">
        <v>12.07</v>
      </c>
      <c r="K207" s="248">
        <f>AB207</f>
        <v>4.84</v>
      </c>
      <c r="L207" s="248">
        <v>1</v>
      </c>
      <c r="M207" s="258">
        <f>$K$6*(I207*$AK$12+IF(J207&gt;30,30*$AK$13+IF(J207&gt;60,30*$AK$14+IF(J207&gt;120,60*$AK$15,(J207-60)*$AK$15),(J207-30)*$AK$14),J207*$AK$13)+$AK$17*K207+L207*$AK$18)</f>
        <v>1549339.4182599999</v>
      </c>
      <c r="N207" s="221" t="s">
        <v>39</v>
      </c>
      <c r="O207" s="258">
        <f t="shared" si="44"/>
        <v>1549339.4182599999</v>
      </c>
      <c r="P207" s="258">
        <f t="shared" si="41"/>
        <v>1162004.563695</v>
      </c>
      <c r="Q207" s="258">
        <f t="shared" si="42"/>
        <v>1986816.5854199997</v>
      </c>
      <c r="R207" s="258">
        <f t="shared" si="43"/>
        <v>1486816.5854199997</v>
      </c>
      <c r="S207" s="258">
        <f t="shared" si="45"/>
        <v>1486816.5854199997</v>
      </c>
      <c r="T207" s="291"/>
      <c r="U207" s="259">
        <v>19</v>
      </c>
      <c r="V207" s="113" t="s">
        <v>291</v>
      </c>
      <c r="W207" t="s">
        <v>291</v>
      </c>
      <c r="X207" t="s">
        <v>291</v>
      </c>
      <c r="Z207" s="80" t="str">
        <f>C207&amp;A207</f>
        <v>19C3</v>
      </c>
      <c r="AA207" s="81">
        <v>19</v>
      </c>
      <c r="AB207" s="82">
        <v>4.84</v>
      </c>
      <c r="AC207" s="84"/>
      <c r="AE207" s="153"/>
      <c r="AF207" s="153"/>
      <c r="AL207" s="130"/>
    </row>
    <row r="208" spans="1:38" ht="16.5" customHeight="1" x14ac:dyDescent="0.25">
      <c r="A208" s="284" t="s">
        <v>160</v>
      </c>
      <c r="B208" s="285">
        <v>39</v>
      </c>
      <c r="C208" s="285">
        <v>20</v>
      </c>
      <c r="D208" s="285" t="s">
        <v>183</v>
      </c>
      <c r="E208" s="287" t="s">
        <v>181</v>
      </c>
      <c r="F208" s="285">
        <v>6</v>
      </c>
      <c r="G208" s="285">
        <v>143.28</v>
      </c>
      <c r="H208" s="92">
        <f t="shared" ref="H208:H254" si="46">VLOOKUP(F208,$AM$3:$AN$11,2,FALSE)</f>
        <v>145</v>
      </c>
      <c r="I208" s="285">
        <f t="shared" si="40"/>
        <v>143.28</v>
      </c>
      <c r="J208" s="290">
        <v>15.78</v>
      </c>
      <c r="K208" s="248">
        <f>AB208</f>
        <v>4.84</v>
      </c>
      <c r="L208" s="248">
        <v>1</v>
      </c>
      <c r="M208" s="258">
        <f>$K$6*(I208*$AK$12+IF(J208&gt;30,30*$AK$13+IF(J208&gt;60,30*$AK$14+IF(J208&gt;120,60*$AK$15,(J208-60)*$AK$15),(J208-30)*$AK$14),J208*$AK$13)+$AK$17*K208+L208*$AK$18)</f>
        <v>2743324.9281200003</v>
      </c>
      <c r="N208" s="221" t="s">
        <v>39</v>
      </c>
      <c r="O208" s="258">
        <f t="shared" si="44"/>
        <v>2743324.9281200003</v>
      </c>
      <c r="P208" s="258">
        <f t="shared" si="41"/>
        <v>2057493.6960900002</v>
      </c>
      <c r="Q208" s="258">
        <f t="shared" si="42"/>
        <v>3517940.22804</v>
      </c>
      <c r="R208" s="258">
        <f t="shared" si="43"/>
        <v>3017940.22804</v>
      </c>
      <c r="S208" s="258">
        <f t="shared" si="45"/>
        <v>2743324.9281200003</v>
      </c>
      <c r="T208" s="291"/>
      <c r="U208" s="259">
        <v>20</v>
      </c>
      <c r="V208" s="113" t="s">
        <v>291</v>
      </c>
      <c r="W208" t="s">
        <v>291</v>
      </c>
      <c r="X208" t="s">
        <v>291</v>
      </c>
      <c r="Z208" s="80" t="str">
        <f>C208&amp;A208</f>
        <v>20C3</v>
      </c>
      <c r="AA208" s="81">
        <v>20</v>
      </c>
      <c r="AB208" s="82">
        <v>4.84</v>
      </c>
      <c r="AC208" s="84"/>
      <c r="AE208" s="153"/>
      <c r="AF208" s="153"/>
      <c r="AL208" s="130"/>
    </row>
    <row r="209" spans="1:38" ht="16.5" customHeight="1" x14ac:dyDescent="0.25">
      <c r="A209" s="284" t="s">
        <v>160</v>
      </c>
      <c r="B209" s="285">
        <v>39</v>
      </c>
      <c r="C209" s="285">
        <v>21</v>
      </c>
      <c r="D209" s="285" t="s">
        <v>184</v>
      </c>
      <c r="E209" s="285">
        <v>1</v>
      </c>
      <c r="F209" s="285">
        <v>6</v>
      </c>
      <c r="G209" s="285">
        <v>143.4</v>
      </c>
      <c r="H209" s="92">
        <f t="shared" si="46"/>
        <v>145</v>
      </c>
      <c r="I209" s="285">
        <f t="shared" si="40"/>
        <v>143.4</v>
      </c>
      <c r="J209" s="290">
        <v>17.05</v>
      </c>
      <c r="K209" s="265">
        <f>AB209</f>
        <v>5.39</v>
      </c>
      <c r="L209" s="260">
        <v>1</v>
      </c>
      <c r="M209" s="258">
        <f>$K$6*(I209*$AK$12+IF(J209&gt;30,30*$AK$13+IF(J209&gt;60,30*$AK$14+IF(J209&gt;120,60*$AK$15,(J209-60)*$AK$15),(J209-30)*$AK$14),J209*$AK$13)+$AK$17*K209+L209*$AK$18)</f>
        <v>2755387.4002399999</v>
      </c>
      <c r="N209" s="221" t="s">
        <v>39</v>
      </c>
      <c r="O209" s="258">
        <f t="shared" si="44"/>
        <v>2755387.4002399999</v>
      </c>
      <c r="P209" s="258">
        <f t="shared" si="41"/>
        <v>2066540.5501799998</v>
      </c>
      <c r="Q209" s="258">
        <f t="shared" si="42"/>
        <v>3533408.7040800001</v>
      </c>
      <c r="R209" s="258">
        <f t="shared" si="43"/>
        <v>3033408.7040800001</v>
      </c>
      <c r="S209" s="258">
        <f t="shared" si="45"/>
        <v>2755387.4002399999</v>
      </c>
      <c r="T209" s="291"/>
      <c r="U209" s="259">
        <v>21</v>
      </c>
      <c r="V209" s="113" t="s">
        <v>291</v>
      </c>
      <c r="W209" t="s">
        <v>291</v>
      </c>
      <c r="X209" t="s">
        <v>291</v>
      </c>
      <c r="Z209" s="80" t="str">
        <f>C209&amp;A209</f>
        <v>21C3</v>
      </c>
      <c r="AA209" s="81">
        <v>21</v>
      </c>
      <c r="AB209" s="82">
        <v>5.39</v>
      </c>
      <c r="AC209" s="84"/>
      <c r="AE209" s="153"/>
      <c r="AF209" s="153"/>
      <c r="AL209" s="130"/>
    </row>
    <row r="210" spans="1:38" ht="16.5" customHeight="1" x14ac:dyDescent="0.25">
      <c r="A210" s="284" t="s">
        <v>160</v>
      </c>
      <c r="B210" s="285">
        <v>39</v>
      </c>
      <c r="C210" s="285">
        <v>22</v>
      </c>
      <c r="D210" s="285" t="s">
        <v>185</v>
      </c>
      <c r="E210" s="285">
        <v>1</v>
      </c>
      <c r="F210" s="285">
        <v>3</v>
      </c>
      <c r="G210" s="285">
        <v>78.47</v>
      </c>
      <c r="H210" s="92">
        <f t="shared" si="46"/>
        <v>90</v>
      </c>
      <c r="I210" s="285">
        <f t="shared" si="40"/>
        <v>78.47</v>
      </c>
      <c r="J210" s="290">
        <v>6.03</v>
      </c>
      <c r="K210" s="265">
        <v>8.85</v>
      </c>
      <c r="L210" s="248">
        <v>1</v>
      </c>
      <c r="M210" s="258">
        <f>$K$6*(I210*$AK$12+IF(J210&gt;30,30*$AK$13+IF(J210&gt;60,30*$AK$14+IF(J210&gt;120,60*$AK$15,(J210-60)*$AK$15),(J210-30)*$AK$14),J210*$AK$13)+$AK$17*K210+L210*$AK$18)</f>
        <v>1538309.3198799998</v>
      </c>
      <c r="N210" s="221" t="s">
        <v>39</v>
      </c>
      <c r="O210" s="258">
        <f t="shared" si="44"/>
        <v>1538309.3198799998</v>
      </c>
      <c r="P210" s="258">
        <f t="shared" si="41"/>
        <v>1153731.98991</v>
      </c>
      <c r="Q210" s="258">
        <f t="shared" si="42"/>
        <v>1972671.9879599998</v>
      </c>
      <c r="R210" s="258">
        <f t="shared" si="43"/>
        <v>1472671.9879599998</v>
      </c>
      <c r="S210" s="258">
        <f t="shared" si="45"/>
        <v>1472671.9879599998</v>
      </c>
      <c r="T210" s="291"/>
      <c r="U210" s="259">
        <v>4</v>
      </c>
      <c r="V210" s="113" t="s">
        <v>291</v>
      </c>
      <c r="W210" t="s">
        <v>291</v>
      </c>
      <c r="X210" t="s">
        <v>291</v>
      </c>
      <c r="Z210" s="209" t="str">
        <f>C192&amp;A192</f>
        <v>4C3</v>
      </c>
      <c r="AA210" s="81">
        <v>22</v>
      </c>
      <c r="AB210" s="82">
        <v>5.39</v>
      </c>
      <c r="AC210" s="84"/>
      <c r="AE210" s="153"/>
      <c r="AF210" s="153"/>
      <c r="AL210" s="130"/>
    </row>
    <row r="211" spans="1:38" ht="16.5" customHeight="1" x14ac:dyDescent="0.25">
      <c r="A211" s="284" t="s">
        <v>160</v>
      </c>
      <c r="B211" s="285">
        <v>39</v>
      </c>
      <c r="C211" s="285">
        <v>23</v>
      </c>
      <c r="D211" s="285" t="s">
        <v>186</v>
      </c>
      <c r="E211" s="285">
        <v>1</v>
      </c>
      <c r="F211" s="285">
        <v>6</v>
      </c>
      <c r="G211" s="285">
        <v>142.31</v>
      </c>
      <c r="H211" s="92">
        <f t="shared" si="46"/>
        <v>145</v>
      </c>
      <c r="I211" s="285">
        <f t="shared" si="40"/>
        <v>142.31</v>
      </c>
      <c r="J211" s="290">
        <v>16.309999999999999</v>
      </c>
      <c r="K211" s="248">
        <f>AB211</f>
        <v>9.24</v>
      </c>
      <c r="L211" s="248">
        <v>1</v>
      </c>
      <c r="M211" s="258">
        <f>$K$6*(I211*$AK$12+IF(J211&gt;30,30*$AK$13+IF(J211&gt;60,30*$AK$14+IF(J211&gt;120,60*$AK$15,(J211-60)*$AK$15),(J211-30)*$AK$14),J211*$AK$13)+$AK$17*K211+L211*$AK$18)</f>
        <v>2752543.8444999997</v>
      </c>
      <c r="N211" s="221" t="s">
        <v>39</v>
      </c>
      <c r="O211" s="258">
        <f t="shared" si="44"/>
        <v>2752543.8444999997</v>
      </c>
      <c r="P211" s="258">
        <f t="shared" si="41"/>
        <v>2064407.8833749997</v>
      </c>
      <c r="Q211" s="258">
        <f t="shared" si="42"/>
        <v>3529762.2314999998</v>
      </c>
      <c r="R211" s="258">
        <f t="shared" si="43"/>
        <v>3029762.2314999998</v>
      </c>
      <c r="S211" s="258">
        <f t="shared" si="45"/>
        <v>2752543.8444999997</v>
      </c>
      <c r="T211" s="291"/>
      <c r="U211" s="259">
        <v>23</v>
      </c>
      <c r="V211" s="113" t="s">
        <v>291</v>
      </c>
      <c r="W211" t="s">
        <v>291</v>
      </c>
      <c r="X211" t="s">
        <v>291</v>
      </c>
      <c r="Z211" s="80" t="str">
        <f>C211&amp;A211</f>
        <v>23C3</v>
      </c>
      <c r="AA211" s="81">
        <v>23</v>
      </c>
      <c r="AB211" s="82">
        <v>9.24</v>
      </c>
      <c r="AC211" s="84"/>
      <c r="AE211" s="153"/>
      <c r="AF211" s="153"/>
      <c r="AL211" s="130"/>
    </row>
    <row r="212" spans="1:38" ht="16.5" customHeight="1" x14ac:dyDescent="0.25">
      <c r="A212" s="284" t="s">
        <v>160</v>
      </c>
      <c r="B212" s="285">
        <v>39</v>
      </c>
      <c r="C212" s="285">
        <v>24</v>
      </c>
      <c r="D212" s="285" t="s">
        <v>187</v>
      </c>
      <c r="E212" s="285">
        <v>1</v>
      </c>
      <c r="F212" s="285">
        <v>4</v>
      </c>
      <c r="G212" s="285">
        <v>106.93</v>
      </c>
      <c r="H212" s="92">
        <f t="shared" si="46"/>
        <v>110</v>
      </c>
      <c r="I212" s="285">
        <f t="shared" si="40"/>
        <v>106.93</v>
      </c>
      <c r="J212" s="290">
        <v>69.239999999999995</v>
      </c>
      <c r="K212" s="248">
        <f>AB212</f>
        <v>7.77</v>
      </c>
      <c r="L212" s="248">
        <v>1</v>
      </c>
      <c r="M212" s="258">
        <f>$K$6*(I212*$AK$12+IF(J212&gt;30,30*$AK$13+IF(J212&gt;60,30*$AK$14+IF(J212&gt;120,60*$AK$15,(J212-60)*$AK$15),(J212-30)*$AK$14),J212*$AK$13)+$AK$17*K212+L212*$AK$18)</f>
        <v>2303551.8267000001</v>
      </c>
      <c r="N212" s="221" t="s">
        <v>39</v>
      </c>
      <c r="O212" s="258">
        <f t="shared" si="44"/>
        <v>2303551.8267000001</v>
      </c>
      <c r="P212" s="258">
        <f t="shared" si="41"/>
        <v>1727663.8700250001</v>
      </c>
      <c r="Q212" s="258">
        <f t="shared" si="42"/>
        <v>2953991.1789000002</v>
      </c>
      <c r="R212" s="258">
        <f t="shared" si="43"/>
        <v>2453991.1789000002</v>
      </c>
      <c r="S212" s="258">
        <f t="shared" si="45"/>
        <v>2303551.8267000001</v>
      </c>
      <c r="T212" s="291"/>
      <c r="U212" s="259">
        <v>24</v>
      </c>
      <c r="V212" s="113" t="s">
        <v>291</v>
      </c>
      <c r="W212" t="s">
        <v>291</v>
      </c>
      <c r="X212" t="s">
        <v>291</v>
      </c>
      <c r="Z212" s="80" t="str">
        <f>C212&amp;A212</f>
        <v>24C3</v>
      </c>
      <c r="AA212" s="81">
        <v>24</v>
      </c>
      <c r="AB212" s="82">
        <v>7.77</v>
      </c>
      <c r="AC212" s="84"/>
      <c r="AE212" s="153"/>
      <c r="AF212" s="153"/>
      <c r="AL212" s="130"/>
    </row>
    <row r="213" spans="1:38" ht="16.5" customHeight="1" x14ac:dyDescent="0.25">
      <c r="A213" s="284" t="s">
        <v>160</v>
      </c>
      <c r="B213" s="285">
        <v>39</v>
      </c>
      <c r="C213" s="285">
        <v>25</v>
      </c>
      <c r="D213" s="285" t="s">
        <v>188</v>
      </c>
      <c r="E213" s="285">
        <v>1</v>
      </c>
      <c r="F213" s="285">
        <v>3</v>
      </c>
      <c r="G213" s="285">
        <v>77.680000000000007</v>
      </c>
      <c r="H213" s="92">
        <f t="shared" si="46"/>
        <v>90</v>
      </c>
      <c r="I213" s="285">
        <f t="shared" si="40"/>
        <v>77.680000000000007</v>
      </c>
      <c r="J213" s="290">
        <v>66.03</v>
      </c>
      <c r="K213" s="248">
        <f>AB213</f>
        <v>7.77</v>
      </c>
      <c r="L213" s="260">
        <v>1</v>
      </c>
      <c r="M213" s="258">
        <f>$K$6*(I213*$AK$12+IF(J213&gt;30,30*$AK$13+IF(J213&gt;60,30*$AK$14+IF(J213&gt;120,60*$AK$15,(J213-60)*$AK$15),(J213-30)*$AK$14),J213*$AK$13)+$AK$17*K213+L213*$AK$18)</f>
        <v>1767967.1974800001</v>
      </c>
      <c r="N213" s="221" t="s">
        <v>39</v>
      </c>
      <c r="O213" s="258">
        <f t="shared" si="44"/>
        <v>1767967.1974800001</v>
      </c>
      <c r="P213" s="258">
        <f t="shared" si="41"/>
        <v>1325975.39811</v>
      </c>
      <c r="Q213" s="258">
        <f t="shared" si="42"/>
        <v>2267176.9071599999</v>
      </c>
      <c r="R213" s="258">
        <f t="shared" si="43"/>
        <v>1767176.9071599999</v>
      </c>
      <c r="S213" s="258">
        <f t="shared" si="45"/>
        <v>1767176.9071599999</v>
      </c>
      <c r="T213" s="291"/>
      <c r="U213" s="259">
        <v>25</v>
      </c>
      <c r="V213" s="113" t="s">
        <v>291</v>
      </c>
      <c r="W213" t="s">
        <v>291</v>
      </c>
      <c r="X213" t="s">
        <v>291</v>
      </c>
      <c r="Z213" s="80" t="str">
        <f>C213&amp;A213</f>
        <v>25C3</v>
      </c>
      <c r="AA213" s="81">
        <v>25</v>
      </c>
      <c r="AB213" s="82">
        <v>7.77</v>
      </c>
      <c r="AC213" s="84"/>
      <c r="AE213" s="153"/>
      <c r="AF213" s="153"/>
      <c r="AL213" s="130"/>
    </row>
    <row r="214" spans="1:38" ht="16.5" customHeight="1" x14ac:dyDescent="0.25">
      <c r="A214" s="284" t="s">
        <v>160</v>
      </c>
      <c r="B214" s="285">
        <v>39</v>
      </c>
      <c r="C214" s="285">
        <v>26</v>
      </c>
      <c r="D214" s="285" t="s">
        <v>188</v>
      </c>
      <c r="E214" s="285">
        <v>1</v>
      </c>
      <c r="F214" s="285">
        <v>3</v>
      </c>
      <c r="G214" s="285">
        <v>77.680000000000007</v>
      </c>
      <c r="H214" s="92">
        <f t="shared" si="46"/>
        <v>90</v>
      </c>
      <c r="I214" s="285">
        <f t="shared" si="40"/>
        <v>77.680000000000007</v>
      </c>
      <c r="J214" s="290">
        <v>66.03</v>
      </c>
      <c r="K214" s="248">
        <f>AB214</f>
        <v>9.24</v>
      </c>
      <c r="L214" s="248">
        <v>1</v>
      </c>
      <c r="M214" s="258">
        <f>$K$6*(I214*$AK$12+IF(J214&gt;30,30*$AK$13+IF(J214&gt;60,30*$AK$14+IF(J214&gt;120,60*$AK$15,(J214-60)*$AK$15),(J214-30)*$AK$14),J214*$AK$13)+$AK$17*K214+L214*$AK$18)</f>
        <v>1775954.5101000001</v>
      </c>
      <c r="N214" s="221" t="s">
        <v>39</v>
      </c>
      <c r="O214" s="258">
        <f t="shared" si="44"/>
        <v>1775954.5101000001</v>
      </c>
      <c r="P214" s="258">
        <f t="shared" si="41"/>
        <v>1331965.8825750002</v>
      </c>
      <c r="Q214" s="258">
        <f t="shared" si="42"/>
        <v>2277419.5466999998</v>
      </c>
      <c r="R214" s="258">
        <f t="shared" si="43"/>
        <v>1777419.5466999998</v>
      </c>
      <c r="S214" s="258">
        <f t="shared" si="45"/>
        <v>1775954.5101000001</v>
      </c>
      <c r="T214" s="291"/>
      <c r="U214" s="259">
        <v>26</v>
      </c>
      <c r="V214" s="113" t="s">
        <v>291</v>
      </c>
      <c r="W214" t="s">
        <v>291</v>
      </c>
      <c r="X214" t="s">
        <v>291</v>
      </c>
      <c r="Z214" s="80" t="str">
        <f>C214&amp;A214</f>
        <v>26C3</v>
      </c>
      <c r="AA214" s="81">
        <v>26</v>
      </c>
      <c r="AB214" s="85">
        <v>9.24</v>
      </c>
      <c r="AC214" s="84"/>
      <c r="AE214" s="153"/>
      <c r="AF214" s="153"/>
      <c r="AL214" s="130"/>
    </row>
    <row r="215" spans="1:38" ht="16.5" customHeight="1" x14ac:dyDescent="0.25">
      <c r="A215" s="284" t="s">
        <v>160</v>
      </c>
      <c r="B215" s="285">
        <v>39</v>
      </c>
      <c r="C215" s="285">
        <v>27</v>
      </c>
      <c r="D215" s="285" t="s">
        <v>188</v>
      </c>
      <c r="E215" s="285">
        <v>1</v>
      </c>
      <c r="F215" s="285">
        <v>3</v>
      </c>
      <c r="G215" s="285">
        <v>77.680000000000007</v>
      </c>
      <c r="H215" s="92">
        <f t="shared" si="46"/>
        <v>90</v>
      </c>
      <c r="I215" s="285">
        <f t="shared" si="40"/>
        <v>77.680000000000007</v>
      </c>
      <c r="J215" s="290">
        <v>65.44</v>
      </c>
      <c r="K215" s="248">
        <f>AB215</f>
        <v>5.14</v>
      </c>
      <c r="L215" s="248">
        <v>1</v>
      </c>
      <c r="M215" s="258">
        <f>$K$6*(I215*$AK$12+IF(J215&gt;30,30*$AK$13+IF(J215&gt;60,30*$AK$14+IF(J215&gt;120,60*$AK$15,(J215-60)*$AK$15),(J215-30)*$AK$14),J215*$AK$13)+$AK$17*K215+L215*$AK$18)</f>
        <v>1752608.3741200001</v>
      </c>
      <c r="N215" s="221" t="s">
        <v>39</v>
      </c>
      <c r="O215" s="258">
        <f t="shared" si="44"/>
        <v>1752608.3741200001</v>
      </c>
      <c r="P215" s="258">
        <f t="shared" si="41"/>
        <v>1314456.2805900001</v>
      </c>
      <c r="Q215" s="258">
        <f t="shared" si="42"/>
        <v>2247481.3100399999</v>
      </c>
      <c r="R215" s="258">
        <f t="shared" si="43"/>
        <v>1747481.3100399999</v>
      </c>
      <c r="S215" s="258">
        <f t="shared" si="45"/>
        <v>1747481.3100399999</v>
      </c>
      <c r="T215" s="291"/>
      <c r="U215" s="259">
        <v>27</v>
      </c>
      <c r="V215" s="113" t="s">
        <v>291</v>
      </c>
      <c r="W215" t="s">
        <v>291</v>
      </c>
      <c r="X215" t="s">
        <v>291</v>
      </c>
      <c r="Z215" s="80" t="str">
        <f>C215&amp;A215</f>
        <v>27C3</v>
      </c>
      <c r="AA215" s="81">
        <v>27</v>
      </c>
      <c r="AB215" s="85">
        <v>5.14</v>
      </c>
      <c r="AC215" s="84"/>
      <c r="AE215" s="153"/>
      <c r="AF215" s="153"/>
      <c r="AL215" s="130"/>
    </row>
    <row r="216" spans="1:38" ht="16.5" customHeight="1" x14ac:dyDescent="0.25">
      <c r="A216" s="284" t="s">
        <v>160</v>
      </c>
      <c r="B216" s="285">
        <v>39</v>
      </c>
      <c r="C216" s="285">
        <v>28</v>
      </c>
      <c r="D216" s="285" t="s">
        <v>189</v>
      </c>
      <c r="E216" s="285">
        <v>1</v>
      </c>
      <c r="F216" s="285">
        <v>4</v>
      </c>
      <c r="G216" s="285">
        <v>114.23</v>
      </c>
      <c r="H216" s="92">
        <f t="shared" si="46"/>
        <v>110</v>
      </c>
      <c r="I216" s="285">
        <f t="shared" si="40"/>
        <v>113.5955</v>
      </c>
      <c r="J216" s="290">
        <v>148.44999999999999</v>
      </c>
      <c r="K216" s="248">
        <f>AB216</f>
        <v>4.83</v>
      </c>
      <c r="L216" s="248">
        <v>1</v>
      </c>
      <c r="M216" s="258">
        <f>$K$6*(I216*$AK$12+IF(J216&gt;30,30*$AK$13+IF(J216&gt;60,30*$AK$14+IF(J216&gt;120,60*$AK$15,(J216-60)*$AK$15),(J216-30)*$AK$14),J216*$AK$13)+$AK$17*K216+L216*$AK$18)</f>
        <v>2500237.1359900003</v>
      </c>
      <c r="N216" s="221" t="s">
        <v>39</v>
      </c>
      <c r="O216" s="258">
        <f t="shared" si="44"/>
        <v>2500237.1359900003</v>
      </c>
      <c r="P216" s="258">
        <f t="shared" si="41"/>
        <v>1875177.8519925002</v>
      </c>
      <c r="Q216" s="258">
        <f t="shared" si="42"/>
        <v>3206213.2743300004</v>
      </c>
      <c r="R216" s="258">
        <f t="shared" si="43"/>
        <v>2706213.2743300004</v>
      </c>
      <c r="S216" s="258">
        <f t="shared" si="45"/>
        <v>2500237.1359900003</v>
      </c>
      <c r="T216" s="291"/>
      <c r="U216" s="259">
        <v>28</v>
      </c>
      <c r="V216" s="113" t="s">
        <v>291</v>
      </c>
      <c r="W216" t="s">
        <v>291</v>
      </c>
      <c r="X216" t="s">
        <v>291</v>
      </c>
      <c r="Z216" s="90" t="str">
        <f>C216&amp;A216</f>
        <v>28C3</v>
      </c>
      <c r="AA216" s="81">
        <v>28</v>
      </c>
      <c r="AB216" s="85">
        <v>4.83</v>
      </c>
      <c r="AC216" s="91"/>
      <c r="AE216" s="153"/>
      <c r="AF216" s="153"/>
      <c r="AL216" s="130"/>
    </row>
    <row r="217" spans="1:38" ht="16.5" customHeight="1" x14ac:dyDescent="0.25">
      <c r="A217" s="284" t="s">
        <v>160</v>
      </c>
      <c r="B217" s="285">
        <v>39</v>
      </c>
      <c r="C217" s="285">
        <v>29</v>
      </c>
      <c r="D217" s="285" t="s">
        <v>190</v>
      </c>
      <c r="E217" s="285">
        <v>2</v>
      </c>
      <c r="F217" s="285">
        <v>5</v>
      </c>
      <c r="G217" s="285">
        <v>124.89</v>
      </c>
      <c r="H217" s="92">
        <f t="shared" si="46"/>
        <v>125</v>
      </c>
      <c r="I217" s="285">
        <f t="shared" si="40"/>
        <v>124.89</v>
      </c>
      <c r="J217" s="290">
        <v>27.86</v>
      </c>
      <c r="K217" s="248">
        <f>AB217</f>
        <v>5.04</v>
      </c>
      <c r="L217" s="260">
        <v>1</v>
      </c>
      <c r="M217" s="258">
        <f>$K$6*(I217*$AK$12+IF(J217&gt;30,30*$AK$13+IF(J217&gt;60,30*$AK$14+IF(J217&gt;120,60*$AK$15,(J217-60)*$AK$15),(J217-30)*$AK$14),J217*$AK$13)+$AK$17*K217+L217*$AK$18)</f>
        <v>2476972.5031999997</v>
      </c>
      <c r="N217" s="221" t="s">
        <v>39</v>
      </c>
      <c r="O217" s="258">
        <f t="shared" si="44"/>
        <v>2476972.5031999997</v>
      </c>
      <c r="P217" s="258">
        <f t="shared" si="41"/>
        <v>1857729.3773999996</v>
      </c>
      <c r="Q217" s="258">
        <f t="shared" si="42"/>
        <v>3176379.5543999998</v>
      </c>
      <c r="R217" s="258">
        <f t="shared" si="43"/>
        <v>2676379.5543999998</v>
      </c>
      <c r="S217" s="258">
        <f t="shared" si="45"/>
        <v>2476972.5031999997</v>
      </c>
      <c r="T217" s="291"/>
      <c r="U217" s="259">
        <v>29</v>
      </c>
      <c r="V217" s="113" t="s">
        <v>291</v>
      </c>
      <c r="W217" t="s">
        <v>291</v>
      </c>
      <c r="X217" t="s">
        <v>291</v>
      </c>
      <c r="Z217" s="90" t="str">
        <f>C217&amp;A217</f>
        <v>29C3</v>
      </c>
      <c r="AA217" s="81">
        <v>29</v>
      </c>
      <c r="AB217" s="85">
        <v>5.04</v>
      </c>
      <c r="AC217" s="91"/>
      <c r="AE217" s="153"/>
      <c r="AF217" s="153"/>
      <c r="AL217" s="130"/>
    </row>
    <row r="218" spans="1:38" ht="16.5" customHeight="1" x14ac:dyDescent="0.25">
      <c r="A218" s="284" t="s">
        <v>160</v>
      </c>
      <c r="B218" s="285">
        <v>39</v>
      </c>
      <c r="C218" s="285">
        <v>30</v>
      </c>
      <c r="D218" s="285" t="s">
        <v>191</v>
      </c>
      <c r="E218" s="285">
        <v>2</v>
      </c>
      <c r="F218" s="285">
        <v>2.5</v>
      </c>
      <c r="G218" s="285">
        <v>66.069999999999993</v>
      </c>
      <c r="H218" s="92">
        <f t="shared" si="46"/>
        <v>76</v>
      </c>
      <c r="I218" s="285">
        <f t="shared" si="40"/>
        <v>66.069999999999993</v>
      </c>
      <c r="J218" s="290">
        <v>17.809999999999999</v>
      </c>
      <c r="K218" s="265">
        <f>AB241</f>
        <v>5.52</v>
      </c>
      <c r="L218" s="248">
        <v>1</v>
      </c>
      <c r="M218" s="258">
        <f>$K$6*(I218*$AK$12+IF(J218&gt;30,30*$AK$13+IF(J218&gt;60,30*$AK$14+IF(J218&gt;120,60*$AK$15,(J218-60)*$AK$15),(J218-30)*$AK$14),J218*$AK$13)+$AK$17*K218+L218*$AK$18)</f>
        <v>1359636.2155800001</v>
      </c>
      <c r="N218" s="221" t="s">
        <v>39</v>
      </c>
      <c r="O218" s="258">
        <f t="shared" si="44"/>
        <v>1359636.2155800001</v>
      </c>
      <c r="P218" s="258">
        <f t="shared" si="41"/>
        <v>1019727.1616850001</v>
      </c>
      <c r="Q218" s="258">
        <f t="shared" si="42"/>
        <v>1743548.0898599999</v>
      </c>
      <c r="R218" s="258">
        <f t="shared" si="43"/>
        <v>1243548.0898599999</v>
      </c>
      <c r="S218" s="258">
        <f t="shared" si="45"/>
        <v>1243548.0898599999</v>
      </c>
      <c r="T218" s="291"/>
      <c r="U218" s="259">
        <v>53</v>
      </c>
      <c r="V218" s="113" t="s">
        <v>291</v>
      </c>
      <c r="W218" t="s">
        <v>291</v>
      </c>
      <c r="X218" t="s">
        <v>291</v>
      </c>
      <c r="Z218" s="129" t="str">
        <f>C251&amp;A251</f>
        <v>63C3</v>
      </c>
      <c r="AA218" s="128">
        <v>30</v>
      </c>
      <c r="AB218" s="85">
        <v>15.5</v>
      </c>
      <c r="AC218" s="91"/>
      <c r="AE218" s="153"/>
      <c r="AF218" s="153"/>
      <c r="AL218" s="130"/>
    </row>
    <row r="219" spans="1:38" ht="16.5" customHeight="1" x14ac:dyDescent="0.25">
      <c r="A219" s="284" t="s">
        <v>160</v>
      </c>
      <c r="B219" s="285">
        <v>39</v>
      </c>
      <c r="C219" s="285">
        <v>31</v>
      </c>
      <c r="D219" s="285" t="s">
        <v>192</v>
      </c>
      <c r="E219" s="285">
        <v>2</v>
      </c>
      <c r="F219" s="285">
        <v>5</v>
      </c>
      <c r="G219" s="285">
        <v>123.86</v>
      </c>
      <c r="H219" s="92">
        <f t="shared" si="46"/>
        <v>125</v>
      </c>
      <c r="I219" s="285">
        <f t="shared" si="40"/>
        <v>123.86</v>
      </c>
      <c r="J219" s="290">
        <v>27.39</v>
      </c>
      <c r="K219" s="265">
        <f>AB242</f>
        <v>5.52</v>
      </c>
      <c r="L219" s="248">
        <v>1</v>
      </c>
      <c r="M219" s="258">
        <f>$K$6*(I219*$AK$12+IF(J219&gt;30,30*$AK$13+IF(J219&gt;60,30*$AK$14+IF(J219&gt;120,60*$AK$15,(J219-60)*$AK$15),(J219-30)*$AK$14),J219*$AK$13)+$AK$17*K219+L219*$AK$18)</f>
        <v>2458371.6640599999</v>
      </c>
      <c r="N219" s="221" t="s">
        <v>39</v>
      </c>
      <c r="O219" s="258">
        <f t="shared" si="44"/>
        <v>2458371.6640599999</v>
      </c>
      <c r="P219" s="258">
        <f t="shared" si="41"/>
        <v>1843778.7480449998</v>
      </c>
      <c r="Q219" s="258">
        <f t="shared" si="42"/>
        <v>3152526.5140200001</v>
      </c>
      <c r="R219" s="258">
        <f t="shared" si="43"/>
        <v>2652526.5140200001</v>
      </c>
      <c r="S219" s="258">
        <f t="shared" si="45"/>
        <v>2458371.6640599999</v>
      </c>
      <c r="T219" s="291"/>
      <c r="U219" s="259">
        <v>54</v>
      </c>
      <c r="V219" s="113" t="s">
        <v>291</v>
      </c>
      <c r="W219" t="s">
        <v>291</v>
      </c>
      <c r="X219" t="s">
        <v>291</v>
      </c>
      <c r="Z219" s="129" t="str">
        <f>C252&amp;A252</f>
        <v>64C3</v>
      </c>
      <c r="AA219" s="128">
        <v>31</v>
      </c>
      <c r="AB219" s="85">
        <v>13.4</v>
      </c>
      <c r="AC219" s="91"/>
      <c r="AE219" s="153"/>
      <c r="AF219" s="153"/>
      <c r="AL219" s="130"/>
    </row>
    <row r="220" spans="1:38" ht="16.5" customHeight="1" x14ac:dyDescent="0.25">
      <c r="A220" s="284" t="s">
        <v>160</v>
      </c>
      <c r="B220" s="285">
        <v>39</v>
      </c>
      <c r="C220" s="285">
        <v>32</v>
      </c>
      <c r="D220" s="285" t="s">
        <v>193</v>
      </c>
      <c r="E220" s="285">
        <v>2</v>
      </c>
      <c r="F220" s="285">
        <v>4</v>
      </c>
      <c r="G220" s="285">
        <v>106.93</v>
      </c>
      <c r="H220" s="92">
        <f t="shared" si="46"/>
        <v>110</v>
      </c>
      <c r="I220" s="285">
        <f t="shared" si="40"/>
        <v>106.93</v>
      </c>
      <c r="J220" s="290">
        <v>29.25</v>
      </c>
      <c r="K220" s="265">
        <f>AB220</f>
        <v>4.71</v>
      </c>
      <c r="L220" s="248">
        <v>1</v>
      </c>
      <c r="M220" s="258">
        <f>$K$6*(I220*$AK$12+IF(J220&gt;30,30*$AK$13+IF(J220&gt;60,30*$AK$14+IF(J220&gt;120,60*$AK$15,(J220-60)*$AK$15),(J220-30)*$AK$14),J220*$AK$13)+$AK$17*K220+L220*$AK$18)</f>
        <v>2157443.7747599999</v>
      </c>
      <c r="N220" s="221" t="s">
        <v>39</v>
      </c>
      <c r="O220" s="258">
        <f t="shared" si="44"/>
        <v>2157443.7747599999</v>
      </c>
      <c r="P220" s="258">
        <f t="shared" si="41"/>
        <v>1618082.8310699998</v>
      </c>
      <c r="Q220" s="258">
        <f t="shared" si="42"/>
        <v>2766627.52092</v>
      </c>
      <c r="R220" s="258">
        <f t="shared" si="43"/>
        <v>2266627.52092</v>
      </c>
      <c r="S220" s="258">
        <f t="shared" si="45"/>
        <v>2157443.7747599999</v>
      </c>
      <c r="T220" s="291"/>
      <c r="U220" s="259">
        <v>32</v>
      </c>
      <c r="V220" s="113" t="s">
        <v>291</v>
      </c>
      <c r="W220" t="s">
        <v>291</v>
      </c>
      <c r="X220" t="s">
        <v>291</v>
      </c>
      <c r="Z220" s="90" t="str">
        <f>C220&amp;A220</f>
        <v>32C3</v>
      </c>
      <c r="AA220" s="81">
        <v>32</v>
      </c>
      <c r="AB220" s="85">
        <v>4.71</v>
      </c>
      <c r="AC220" s="91"/>
      <c r="AE220" s="153"/>
      <c r="AF220" s="153"/>
      <c r="AL220" s="130"/>
    </row>
    <row r="221" spans="1:38" ht="16.5" customHeight="1" x14ac:dyDescent="0.25">
      <c r="A221" s="284" t="s">
        <v>160</v>
      </c>
      <c r="B221" s="285">
        <v>39</v>
      </c>
      <c r="C221" s="285">
        <v>33</v>
      </c>
      <c r="D221" s="285" t="s">
        <v>194</v>
      </c>
      <c r="E221" s="285">
        <v>2</v>
      </c>
      <c r="F221" s="285">
        <v>3</v>
      </c>
      <c r="G221" s="285">
        <v>77.680000000000007</v>
      </c>
      <c r="H221" s="92">
        <f t="shared" si="46"/>
        <v>90</v>
      </c>
      <c r="I221" s="285">
        <f t="shared" ref="I221:I252" si="47">IF(G221&gt;H221,(G221-H221)*$AL$12+H221,G221)</f>
        <v>77.680000000000007</v>
      </c>
      <c r="J221" s="290">
        <v>27.49</v>
      </c>
      <c r="K221" s="248">
        <f>AB221</f>
        <v>4.92</v>
      </c>
      <c r="L221" s="260">
        <v>1</v>
      </c>
      <c r="M221" s="258">
        <f>$K$6*(I221*$AK$12+IF(J221&gt;30,30*$AK$13+IF(J221&gt;60,30*$AK$14+IF(J221&gt;120,60*$AK$15,(J221-60)*$AK$15),(J221-30)*$AK$14),J221*$AK$13)+$AK$17*K221+L221*$AK$18)</f>
        <v>1619251.0434600001</v>
      </c>
      <c r="N221" s="221" t="s">
        <v>39</v>
      </c>
      <c r="O221" s="258">
        <f t="shared" si="44"/>
        <v>1619251.0434600001</v>
      </c>
      <c r="P221" s="258">
        <f t="shared" ref="P221:P252" si="48">O221*(1-$AK$19)</f>
        <v>1214438.282595</v>
      </c>
      <c r="Q221" s="258">
        <f t="shared" ref="Q221:Q254" si="49">$AK$22*(I221*$AK$12+IF(J221&gt;30,30*$AK$13+IF(J221&gt;60,30*$AK$14+IF(J221&gt;120,60*$AK$15,(J221-60)*$AK$15),(J221-30)*$AK$14),J221*$AK$13)+$AK$17*K221+L221*$AK$18)</f>
        <v>2076468.7138199999</v>
      </c>
      <c r="R221" s="258">
        <f t="shared" ref="R221:R252" si="50">Q221-$AK$20</f>
        <v>1576468.7138199999</v>
      </c>
      <c r="S221" s="258">
        <f t="shared" si="45"/>
        <v>1576468.7138199999</v>
      </c>
      <c r="T221" s="291"/>
      <c r="U221" s="259">
        <v>33</v>
      </c>
      <c r="V221" s="113" t="s">
        <v>291</v>
      </c>
      <c r="W221" t="s">
        <v>291</v>
      </c>
      <c r="X221" t="s">
        <v>291</v>
      </c>
      <c r="Z221" s="90" t="s">
        <v>260</v>
      </c>
      <c r="AA221" s="81">
        <v>33</v>
      </c>
      <c r="AB221" s="85">
        <v>4.92</v>
      </c>
      <c r="AC221" s="91"/>
      <c r="AE221" s="153"/>
      <c r="AF221" s="153"/>
      <c r="AL221" s="130"/>
    </row>
    <row r="222" spans="1:38" ht="16.5" customHeight="1" x14ac:dyDescent="0.25">
      <c r="A222" s="284" t="s">
        <v>160</v>
      </c>
      <c r="B222" s="285">
        <v>39</v>
      </c>
      <c r="C222" s="285">
        <v>34</v>
      </c>
      <c r="D222" s="285" t="s">
        <v>194</v>
      </c>
      <c r="E222" s="285">
        <v>2</v>
      </c>
      <c r="F222" s="285">
        <v>3</v>
      </c>
      <c r="G222" s="285">
        <v>77.680000000000007</v>
      </c>
      <c r="H222" s="92">
        <f t="shared" si="46"/>
        <v>90</v>
      </c>
      <c r="I222" s="285">
        <f t="shared" si="47"/>
        <v>77.680000000000007</v>
      </c>
      <c r="J222" s="290">
        <v>27.49</v>
      </c>
      <c r="K222" s="248">
        <f>AB222</f>
        <v>8.43</v>
      </c>
      <c r="L222" s="248">
        <v>1</v>
      </c>
      <c r="M222" s="258">
        <f>$K$6*(I222*$AK$12+IF(J222&gt;30,30*$AK$13+IF(J222&gt;60,30*$AK$14+IF(J222&gt;120,60*$AK$15,(J222-60)*$AK$15),(J222-30)*$AK$14),J222*$AK$13)+$AK$17*K222+L222*$AK$18)</f>
        <v>1638322.7899200001</v>
      </c>
      <c r="N222" s="221" t="s">
        <v>39</v>
      </c>
      <c r="O222" s="258">
        <f t="shared" si="44"/>
        <v>1638322.7899200001</v>
      </c>
      <c r="P222" s="258">
        <f t="shared" si="48"/>
        <v>1228742.09244</v>
      </c>
      <c r="Q222" s="258">
        <f t="shared" si="49"/>
        <v>2100925.6286399998</v>
      </c>
      <c r="R222" s="258">
        <f t="shared" si="50"/>
        <v>1600925.6286399998</v>
      </c>
      <c r="S222" s="258">
        <f t="shared" si="45"/>
        <v>1600925.6286399998</v>
      </c>
      <c r="T222" s="291"/>
      <c r="U222" s="259">
        <v>34</v>
      </c>
      <c r="V222" s="113" t="s">
        <v>291</v>
      </c>
      <c r="W222" t="s">
        <v>291</v>
      </c>
      <c r="X222" t="s">
        <v>291</v>
      </c>
      <c r="Z222" s="90" t="s">
        <v>261</v>
      </c>
      <c r="AA222" s="81">
        <v>34</v>
      </c>
      <c r="AB222" s="85">
        <v>8.43</v>
      </c>
      <c r="AC222" s="91"/>
      <c r="AE222" s="153"/>
      <c r="AF222" s="153"/>
      <c r="AL222" s="130"/>
    </row>
    <row r="223" spans="1:38" ht="16.5" customHeight="1" x14ac:dyDescent="0.25">
      <c r="A223" s="284" t="s">
        <v>160</v>
      </c>
      <c r="B223" s="285">
        <v>39</v>
      </c>
      <c r="C223" s="285">
        <v>35</v>
      </c>
      <c r="D223" s="285" t="s">
        <v>194</v>
      </c>
      <c r="E223" s="285">
        <v>2</v>
      </c>
      <c r="F223" s="285">
        <v>3</v>
      </c>
      <c r="G223" s="285">
        <v>77.680000000000007</v>
      </c>
      <c r="H223" s="92">
        <f t="shared" si="46"/>
        <v>90</v>
      </c>
      <c r="I223" s="285">
        <f t="shared" si="47"/>
        <v>77.680000000000007</v>
      </c>
      <c r="J223" s="290">
        <v>27.49</v>
      </c>
      <c r="K223" s="248">
        <f>AB223</f>
        <v>9.18</v>
      </c>
      <c r="L223" s="248">
        <v>1</v>
      </c>
      <c r="M223" s="258">
        <f>$K$6*(I223*$AK$12+IF(J223&gt;30,30*$AK$13+IF(J223&gt;60,30*$AK$14+IF(J223&gt;120,60*$AK$15,(J223-60)*$AK$15),(J223-30)*$AK$14),J223*$AK$13)+$AK$17*K223+L223*$AK$18)</f>
        <v>1642397.9494200002</v>
      </c>
      <c r="N223" s="221" t="s">
        <v>39</v>
      </c>
      <c r="O223" s="258">
        <f t="shared" si="44"/>
        <v>1642397.9494200002</v>
      </c>
      <c r="P223" s="258">
        <f t="shared" si="48"/>
        <v>1231798.4620650001</v>
      </c>
      <c r="Q223" s="258">
        <f t="shared" si="49"/>
        <v>2106151.46514</v>
      </c>
      <c r="R223" s="258">
        <f t="shared" si="50"/>
        <v>1606151.46514</v>
      </c>
      <c r="S223" s="258">
        <f t="shared" si="45"/>
        <v>1606151.46514</v>
      </c>
      <c r="T223" s="291"/>
      <c r="U223" s="259">
        <v>35</v>
      </c>
      <c r="V223" s="113" t="s">
        <v>291</v>
      </c>
      <c r="W223" t="s">
        <v>291</v>
      </c>
      <c r="X223" t="s">
        <v>291</v>
      </c>
      <c r="Z223" s="90" t="str">
        <f>C223&amp;A223</f>
        <v>35C3</v>
      </c>
      <c r="AA223" s="81">
        <v>35</v>
      </c>
      <c r="AB223" s="85">
        <v>9.18</v>
      </c>
      <c r="AC223" s="91"/>
      <c r="AE223" s="153"/>
      <c r="AF223" s="153"/>
      <c r="AL223" s="130"/>
    </row>
    <row r="224" spans="1:38" ht="16.5" customHeight="1" x14ac:dyDescent="0.25">
      <c r="A224" s="284" t="s">
        <v>160</v>
      </c>
      <c r="B224" s="285">
        <v>39</v>
      </c>
      <c r="C224" s="285">
        <v>36</v>
      </c>
      <c r="D224" s="285" t="s">
        <v>195</v>
      </c>
      <c r="E224" s="285">
        <v>2</v>
      </c>
      <c r="F224" s="285">
        <v>4</v>
      </c>
      <c r="G224" s="285">
        <v>114.23</v>
      </c>
      <c r="H224" s="92">
        <f t="shared" si="46"/>
        <v>110</v>
      </c>
      <c r="I224" s="285">
        <f t="shared" si="47"/>
        <v>113.5955</v>
      </c>
      <c r="J224" s="290">
        <v>33.130000000000003</v>
      </c>
      <c r="K224" s="248">
        <f>AB224</f>
        <v>10.1</v>
      </c>
      <c r="L224" s="248">
        <v>1</v>
      </c>
      <c r="M224" s="258">
        <f>$K$6*(I224*$AK$12+IF(J224&gt;30,30*$AK$13+IF(J224&gt;60,30*$AK$14+IF(J224&gt;120,60*$AK$15,(J224-60)*$AK$15),(J224-30)*$AK$14),J224*$AK$13)+$AK$17*K224+L224*$AK$18)</f>
        <v>2322868.0827300004</v>
      </c>
      <c r="N224" s="221" t="s">
        <v>39</v>
      </c>
      <c r="O224" s="258">
        <f t="shared" si="44"/>
        <v>2322868.0827300004</v>
      </c>
      <c r="P224" s="258">
        <f t="shared" si="48"/>
        <v>1742151.0620475002</v>
      </c>
      <c r="Q224" s="258">
        <f t="shared" si="49"/>
        <v>2978761.6439100001</v>
      </c>
      <c r="R224" s="258">
        <f t="shared" si="50"/>
        <v>2478761.6439100001</v>
      </c>
      <c r="S224" s="258">
        <f t="shared" si="45"/>
        <v>2322868.0827300004</v>
      </c>
      <c r="T224" s="291"/>
      <c r="U224" s="259">
        <v>36</v>
      </c>
      <c r="V224" s="113" t="s">
        <v>291</v>
      </c>
      <c r="W224" t="s">
        <v>291</v>
      </c>
      <c r="X224" t="s">
        <v>291</v>
      </c>
      <c r="Z224" s="90" t="str">
        <f>C224&amp;A224</f>
        <v>36C3</v>
      </c>
      <c r="AA224" s="81">
        <v>36</v>
      </c>
      <c r="AB224" s="85">
        <v>10.1</v>
      </c>
      <c r="AC224" s="91"/>
      <c r="AE224" s="153"/>
      <c r="AF224" s="153"/>
      <c r="AL224" s="130"/>
    </row>
    <row r="225" spans="1:38" ht="16.5" customHeight="1" x14ac:dyDescent="0.25">
      <c r="A225" s="284" t="s">
        <v>160</v>
      </c>
      <c r="B225" s="285">
        <v>39</v>
      </c>
      <c r="C225" s="285">
        <v>37</v>
      </c>
      <c r="D225" s="285" t="s">
        <v>196</v>
      </c>
      <c r="E225" s="285">
        <v>3</v>
      </c>
      <c r="F225" s="285">
        <v>4.5</v>
      </c>
      <c r="G225" s="285">
        <v>121.2</v>
      </c>
      <c r="H225" s="92">
        <f t="shared" si="46"/>
        <v>120</v>
      </c>
      <c r="I225" s="285">
        <f t="shared" si="47"/>
        <v>121.02</v>
      </c>
      <c r="J225" s="290">
        <v>25.2</v>
      </c>
      <c r="K225" s="248">
        <f>AB225</f>
        <v>6.86</v>
      </c>
      <c r="L225" s="260">
        <v>1</v>
      </c>
      <c r="M225" s="258">
        <f>$K$6*(I225*$AK$12+IF(J225&gt;30,30*$AK$13+IF(J225&gt;60,30*$AK$14+IF(J225&gt;120,60*$AK$15,(J225-60)*$AK$15),(J225-30)*$AK$14),J225*$AK$13)+$AK$17*K225+L225*$AK$18)</f>
        <v>2402315.5811599996</v>
      </c>
      <c r="N225" s="221" t="s">
        <v>39</v>
      </c>
      <c r="O225" s="258">
        <f t="shared" si="44"/>
        <v>2402315.5811599996</v>
      </c>
      <c r="P225" s="258">
        <f t="shared" si="48"/>
        <v>1801736.6858699997</v>
      </c>
      <c r="Q225" s="258">
        <f t="shared" si="49"/>
        <v>3080642.2297199992</v>
      </c>
      <c r="R225" s="258">
        <f t="shared" si="50"/>
        <v>2580642.2297199992</v>
      </c>
      <c r="S225" s="258">
        <f t="shared" si="45"/>
        <v>2402315.5811599996</v>
      </c>
      <c r="T225" s="291"/>
      <c r="U225" s="259">
        <v>37</v>
      </c>
      <c r="V225" s="113" t="s">
        <v>291</v>
      </c>
      <c r="W225" t="s">
        <v>291</v>
      </c>
      <c r="X225" t="s">
        <v>291</v>
      </c>
      <c r="Z225" s="90" t="str">
        <f>C225&amp;A225</f>
        <v>37C3</v>
      </c>
      <c r="AA225" s="81">
        <v>37</v>
      </c>
      <c r="AB225" s="85">
        <v>6.86</v>
      </c>
      <c r="AC225" s="91"/>
      <c r="AE225" s="153"/>
      <c r="AF225" s="153"/>
      <c r="AL225" s="130"/>
    </row>
    <row r="226" spans="1:38" ht="16.5" customHeight="1" x14ac:dyDescent="0.25">
      <c r="A226" s="284" t="s">
        <v>160</v>
      </c>
      <c r="B226" s="285">
        <v>39</v>
      </c>
      <c r="C226" s="285">
        <v>38</v>
      </c>
      <c r="D226" s="285" t="s">
        <v>197</v>
      </c>
      <c r="E226" s="285">
        <v>3</v>
      </c>
      <c r="F226" s="285">
        <v>2.5</v>
      </c>
      <c r="G226" s="285">
        <v>66.069999999999993</v>
      </c>
      <c r="H226" s="92">
        <f t="shared" si="46"/>
        <v>76</v>
      </c>
      <c r="I226" s="285">
        <f t="shared" si="47"/>
        <v>66.069999999999993</v>
      </c>
      <c r="J226" s="290">
        <v>11.97</v>
      </c>
      <c r="K226" s="248">
        <f>AB226</f>
        <v>6.41</v>
      </c>
      <c r="L226" s="248">
        <v>1</v>
      </c>
      <c r="M226" s="258">
        <f>$K$6*(I226*$AK$12+IF(J226&gt;30,30*$AK$13+IF(J226&gt;60,30*$AK$14+IF(J226&gt;120,60*$AK$15,(J226-60)*$AK$15),(J226-30)*$AK$14),J226*$AK$13)+$AK$17*K226+L226*$AK$18)</f>
        <v>1332740.1628799997</v>
      </c>
      <c r="N226" s="221" t="s">
        <v>39</v>
      </c>
      <c r="O226" s="258">
        <f t="shared" si="44"/>
        <v>1332740.1628799997</v>
      </c>
      <c r="P226" s="258">
        <f t="shared" si="48"/>
        <v>999555.1221599998</v>
      </c>
      <c r="Q226" s="258">
        <f t="shared" si="49"/>
        <v>1709057.5689599996</v>
      </c>
      <c r="R226" s="258">
        <f t="shared" si="50"/>
        <v>1209057.5689599996</v>
      </c>
      <c r="S226" s="258">
        <f t="shared" si="45"/>
        <v>1209057.5689599996</v>
      </c>
      <c r="T226" s="291"/>
      <c r="U226" s="259">
        <v>38</v>
      </c>
      <c r="V226" s="113" t="s">
        <v>291</v>
      </c>
      <c r="W226" t="s">
        <v>291</v>
      </c>
      <c r="X226" t="s">
        <v>291</v>
      </c>
      <c r="Z226" s="90" t="str">
        <f>C226&amp;A226</f>
        <v>38C3</v>
      </c>
      <c r="AA226" s="81">
        <v>38</v>
      </c>
      <c r="AB226" s="85">
        <v>6.41</v>
      </c>
      <c r="AC226" s="91"/>
      <c r="AE226" s="153"/>
      <c r="AF226" s="153"/>
      <c r="AL226" s="130"/>
    </row>
    <row r="227" spans="1:38" ht="16.5" customHeight="1" x14ac:dyDescent="0.25">
      <c r="A227" s="284" t="s">
        <v>160</v>
      </c>
      <c r="B227" s="285">
        <v>39</v>
      </c>
      <c r="C227" s="285">
        <v>39</v>
      </c>
      <c r="D227" s="285" t="s">
        <v>198</v>
      </c>
      <c r="E227" s="285">
        <v>3</v>
      </c>
      <c r="F227" s="285">
        <v>4.5</v>
      </c>
      <c r="G227" s="285">
        <v>120.17</v>
      </c>
      <c r="H227" s="92">
        <f t="shared" si="46"/>
        <v>120</v>
      </c>
      <c r="I227" s="285">
        <f t="shared" si="47"/>
        <v>120.14450000000001</v>
      </c>
      <c r="J227" s="290">
        <v>24.59</v>
      </c>
      <c r="K227" s="248">
        <f>AB227</f>
        <v>6.86</v>
      </c>
      <c r="L227" s="248">
        <v>1</v>
      </c>
      <c r="M227" s="258">
        <f>$K$6*(I227*$AK$12+IF(J227&gt;30,30*$AK$13+IF(J227&gt;60,30*$AK$14+IF(J227&gt;120,60*$AK$15,(J227-60)*$AK$15),(J227-30)*$AK$14),J227*$AK$13)+$AK$17*K227+L227*$AK$18)</f>
        <v>2383144.2196899997</v>
      </c>
      <c r="N227" s="221" t="s">
        <v>39</v>
      </c>
      <c r="O227" s="258">
        <f t="shared" si="44"/>
        <v>2383144.2196899997</v>
      </c>
      <c r="P227" s="258">
        <f t="shared" si="48"/>
        <v>1787358.1647674998</v>
      </c>
      <c r="Q227" s="258">
        <f t="shared" si="49"/>
        <v>3056057.5722299996</v>
      </c>
      <c r="R227" s="258">
        <f t="shared" si="50"/>
        <v>2556057.5722299996</v>
      </c>
      <c r="S227" s="258">
        <f t="shared" si="45"/>
        <v>2383144.2196899997</v>
      </c>
      <c r="T227" s="291"/>
      <c r="U227" s="259">
        <v>39</v>
      </c>
      <c r="V227" s="113" t="s">
        <v>291</v>
      </c>
      <c r="W227" t="s">
        <v>291</v>
      </c>
      <c r="X227" t="s">
        <v>291</v>
      </c>
      <c r="Z227" s="90" t="str">
        <f>C227&amp;A227</f>
        <v>39C3</v>
      </c>
      <c r="AA227" s="81">
        <v>39</v>
      </c>
      <c r="AB227" s="85">
        <v>6.86</v>
      </c>
      <c r="AC227" s="91"/>
      <c r="AE227" s="153"/>
      <c r="AF227" s="153"/>
      <c r="AL227" s="130"/>
    </row>
    <row r="228" spans="1:38" ht="16.5" customHeight="1" x14ac:dyDescent="0.25">
      <c r="A228" s="284" t="s">
        <v>160</v>
      </c>
      <c r="B228" s="285">
        <v>39</v>
      </c>
      <c r="C228" s="285">
        <v>40</v>
      </c>
      <c r="D228" s="285" t="s">
        <v>199</v>
      </c>
      <c r="E228" s="285">
        <v>3</v>
      </c>
      <c r="F228" s="285">
        <v>4</v>
      </c>
      <c r="G228" s="285">
        <v>106.93</v>
      </c>
      <c r="H228" s="92">
        <f t="shared" si="46"/>
        <v>110</v>
      </c>
      <c r="I228" s="285">
        <f t="shared" si="47"/>
        <v>106.93</v>
      </c>
      <c r="J228" s="290">
        <v>18.66</v>
      </c>
      <c r="K228" s="248">
        <f>AB228</f>
        <v>6.41</v>
      </c>
      <c r="L228" s="248">
        <v>1</v>
      </c>
      <c r="M228" s="258">
        <f>$K$6*(I228*$AK$12+IF(J228&gt;30,30*$AK$13+IF(J228&gt;60,30*$AK$14+IF(J228&gt;120,60*$AK$15,(J228-60)*$AK$15),(J228-30)*$AK$14),J228*$AK$13)+$AK$17*K228+L228*$AK$18)</f>
        <v>2109139.55082</v>
      </c>
      <c r="N228" s="221" t="s">
        <v>39</v>
      </c>
      <c r="O228" s="258">
        <f t="shared" si="44"/>
        <v>2109139.55082</v>
      </c>
      <c r="P228" s="258">
        <f t="shared" si="48"/>
        <v>1581854.6631149999</v>
      </c>
      <c r="Q228" s="258">
        <f t="shared" si="49"/>
        <v>2704683.9389400003</v>
      </c>
      <c r="R228" s="258">
        <f t="shared" si="50"/>
        <v>2204683.9389400003</v>
      </c>
      <c r="S228" s="258">
        <f t="shared" si="45"/>
        <v>2109139.55082</v>
      </c>
      <c r="T228" s="291"/>
      <c r="U228" s="259">
        <v>40</v>
      </c>
      <c r="V228" s="113" t="s">
        <v>291</v>
      </c>
      <c r="W228" t="s">
        <v>291</v>
      </c>
      <c r="X228" t="s">
        <v>291</v>
      </c>
      <c r="Z228" s="90" t="str">
        <f>C228&amp;A228</f>
        <v>40C3</v>
      </c>
      <c r="AA228" s="81">
        <v>40</v>
      </c>
      <c r="AB228" s="85">
        <v>6.41</v>
      </c>
      <c r="AC228" s="91"/>
      <c r="AE228" s="153"/>
      <c r="AF228" s="153"/>
      <c r="AL228" s="130"/>
    </row>
    <row r="229" spans="1:38" ht="16.5" customHeight="1" x14ac:dyDescent="0.25">
      <c r="A229" s="284" t="s">
        <v>160</v>
      </c>
      <c r="B229" s="285">
        <v>39</v>
      </c>
      <c r="C229" s="285">
        <v>41</v>
      </c>
      <c r="D229" s="285" t="s">
        <v>200</v>
      </c>
      <c r="E229" s="285">
        <v>3</v>
      </c>
      <c r="F229" s="285">
        <v>3</v>
      </c>
      <c r="G229" s="285">
        <v>77.680000000000007</v>
      </c>
      <c r="H229" s="92">
        <f t="shared" si="46"/>
        <v>90</v>
      </c>
      <c r="I229" s="285">
        <f t="shared" si="47"/>
        <v>77.680000000000007</v>
      </c>
      <c r="J229" s="290">
        <v>17.559999999999999</v>
      </c>
      <c r="K229" s="248">
        <f>AB229</f>
        <v>4.72</v>
      </c>
      <c r="L229" s="260">
        <v>1</v>
      </c>
      <c r="M229" s="258">
        <f>$K$6*(I229*$AK$12+IF(J229&gt;30,30*$AK$13+IF(J229&gt;60,30*$AK$14+IF(J229&gt;120,60*$AK$15,(J229-60)*$AK$15),(J229-30)*$AK$14),J229*$AK$13)+$AK$17*K229+L229*$AK$18)</f>
        <v>1564209.22248</v>
      </c>
      <c r="N229" s="221" t="s">
        <v>39</v>
      </c>
      <c r="O229" s="258">
        <f t="shared" si="44"/>
        <v>1564209.22248</v>
      </c>
      <c r="P229" s="258">
        <f t="shared" si="48"/>
        <v>1173156.91686</v>
      </c>
      <c r="Q229" s="258">
        <f t="shared" si="49"/>
        <v>2005885.08216</v>
      </c>
      <c r="R229" s="258">
        <f t="shared" si="50"/>
        <v>1505885.08216</v>
      </c>
      <c r="S229" s="258">
        <f t="shared" si="45"/>
        <v>1505885.08216</v>
      </c>
      <c r="T229" s="291"/>
      <c r="U229" s="259">
        <v>41</v>
      </c>
      <c r="V229" s="113" t="s">
        <v>291</v>
      </c>
      <c r="W229" t="s">
        <v>291</v>
      </c>
      <c r="X229" t="s">
        <v>291</v>
      </c>
      <c r="Z229" s="90" t="str">
        <f>C229&amp;A229</f>
        <v>41C3</v>
      </c>
      <c r="AA229" s="81">
        <v>41</v>
      </c>
      <c r="AB229" s="85">
        <v>4.72</v>
      </c>
      <c r="AC229" s="91"/>
      <c r="AE229" s="153"/>
      <c r="AF229" s="153"/>
      <c r="AL229" s="130"/>
    </row>
    <row r="230" spans="1:38" ht="16.5" customHeight="1" x14ac:dyDescent="0.25">
      <c r="A230" s="284" t="s">
        <v>160</v>
      </c>
      <c r="B230" s="285">
        <v>39</v>
      </c>
      <c r="C230" s="285">
        <v>42</v>
      </c>
      <c r="D230" s="285" t="s">
        <v>200</v>
      </c>
      <c r="E230" s="285">
        <v>3</v>
      </c>
      <c r="F230" s="285">
        <v>3</v>
      </c>
      <c r="G230" s="285">
        <v>77.680000000000007</v>
      </c>
      <c r="H230" s="92">
        <f t="shared" si="46"/>
        <v>90</v>
      </c>
      <c r="I230" s="285">
        <f t="shared" si="47"/>
        <v>77.680000000000007</v>
      </c>
      <c r="J230" s="290">
        <v>17.559999999999999</v>
      </c>
      <c r="K230" s="248">
        <f>AB230</f>
        <v>4.6100000000000003</v>
      </c>
      <c r="L230" s="248">
        <v>1</v>
      </c>
      <c r="M230" s="258">
        <f>$K$6*(I230*$AK$12+IF(J230&gt;30,30*$AK$13+IF(J230&gt;60,30*$AK$14+IF(J230&gt;120,60*$AK$15,(J230-60)*$AK$15),(J230-30)*$AK$14),J230*$AK$13)+$AK$17*K230+L230*$AK$18)</f>
        <v>1563611.5324200001</v>
      </c>
      <c r="N230" s="221" t="s">
        <v>39</v>
      </c>
      <c r="O230" s="258">
        <f t="shared" si="44"/>
        <v>1563611.5324200001</v>
      </c>
      <c r="P230" s="258">
        <f t="shared" si="48"/>
        <v>1172708.649315</v>
      </c>
      <c r="Q230" s="258">
        <f t="shared" si="49"/>
        <v>2005118.6261400001</v>
      </c>
      <c r="R230" s="258">
        <f t="shared" si="50"/>
        <v>1505118.6261400001</v>
      </c>
      <c r="S230" s="258">
        <f t="shared" si="45"/>
        <v>1505118.6261400001</v>
      </c>
      <c r="T230" s="291"/>
      <c r="U230" s="259">
        <v>42</v>
      </c>
      <c r="V230" s="113" t="s">
        <v>291</v>
      </c>
      <c r="W230" t="s">
        <v>291</v>
      </c>
      <c r="X230" t="s">
        <v>291</v>
      </c>
      <c r="Z230" s="90" t="str">
        <f>C230&amp;A230</f>
        <v>42C3</v>
      </c>
      <c r="AA230" s="81">
        <v>42</v>
      </c>
      <c r="AB230" s="85">
        <v>4.6100000000000003</v>
      </c>
      <c r="AC230" s="91"/>
      <c r="AE230" s="153"/>
      <c r="AF230" s="153"/>
      <c r="AL230" s="130"/>
    </row>
    <row r="231" spans="1:38" ht="16.5" customHeight="1" x14ac:dyDescent="0.25">
      <c r="A231" s="284" t="s">
        <v>160</v>
      </c>
      <c r="B231" s="285">
        <v>39</v>
      </c>
      <c r="C231" s="285">
        <v>43</v>
      </c>
      <c r="D231" s="285" t="s">
        <v>200</v>
      </c>
      <c r="E231" s="285">
        <v>3</v>
      </c>
      <c r="F231" s="285">
        <v>3</v>
      </c>
      <c r="G231" s="285">
        <v>77.680000000000007</v>
      </c>
      <c r="H231" s="92">
        <f t="shared" si="46"/>
        <v>90</v>
      </c>
      <c r="I231" s="285">
        <f t="shared" si="47"/>
        <v>77.680000000000007</v>
      </c>
      <c r="J231" s="290">
        <v>17.559999999999999</v>
      </c>
      <c r="K231" s="248">
        <f>AB231</f>
        <v>4.6100000000000003</v>
      </c>
      <c r="L231" s="248">
        <v>1</v>
      </c>
      <c r="M231" s="258">
        <f>$K$6*(I231*$AK$12+IF(J231&gt;30,30*$AK$13+IF(J231&gt;60,30*$AK$14+IF(J231&gt;120,60*$AK$15,(J231-60)*$AK$15),(J231-30)*$AK$14),J231*$AK$13)+$AK$17*K231+L231*$AK$18)</f>
        <v>1563611.5324200001</v>
      </c>
      <c r="N231" s="221" t="s">
        <v>39</v>
      </c>
      <c r="O231" s="258">
        <f t="shared" si="44"/>
        <v>1563611.5324200001</v>
      </c>
      <c r="P231" s="258">
        <f t="shared" si="48"/>
        <v>1172708.649315</v>
      </c>
      <c r="Q231" s="258">
        <f t="shared" si="49"/>
        <v>2005118.6261400001</v>
      </c>
      <c r="R231" s="258">
        <f t="shared" si="50"/>
        <v>1505118.6261400001</v>
      </c>
      <c r="S231" s="258">
        <f t="shared" si="45"/>
        <v>1505118.6261400001</v>
      </c>
      <c r="T231" s="291"/>
      <c r="U231" s="259">
        <v>43</v>
      </c>
      <c r="V231" s="113" t="s">
        <v>291</v>
      </c>
      <c r="W231" t="s">
        <v>291</v>
      </c>
      <c r="X231" t="s">
        <v>291</v>
      </c>
      <c r="Z231" s="90" t="str">
        <f>C231&amp;A231</f>
        <v>43C3</v>
      </c>
      <c r="AA231" s="81">
        <v>43</v>
      </c>
      <c r="AB231" s="85">
        <v>4.6100000000000003</v>
      </c>
      <c r="AC231" s="91"/>
      <c r="AE231" s="153"/>
      <c r="AF231" s="153"/>
      <c r="AL231" s="130"/>
    </row>
    <row r="232" spans="1:38" ht="16.5" customHeight="1" x14ac:dyDescent="0.25">
      <c r="A232" s="284" t="s">
        <v>160</v>
      </c>
      <c r="B232" s="285">
        <v>39</v>
      </c>
      <c r="C232" s="285">
        <v>44</v>
      </c>
      <c r="D232" s="285" t="s">
        <v>201</v>
      </c>
      <c r="E232" s="285">
        <v>3</v>
      </c>
      <c r="F232" s="285">
        <v>4</v>
      </c>
      <c r="G232" s="285">
        <v>114.23</v>
      </c>
      <c r="H232" s="92">
        <f t="shared" si="46"/>
        <v>110</v>
      </c>
      <c r="I232" s="285">
        <f t="shared" si="47"/>
        <v>113.5955</v>
      </c>
      <c r="J232" s="290">
        <v>21.08</v>
      </c>
      <c r="K232" s="248">
        <f>AB232</f>
        <v>4.6100000000000003</v>
      </c>
      <c r="L232" s="248">
        <v>1</v>
      </c>
      <c r="M232" s="258">
        <f>$K$6*(I232*$AK$12+IF(J232&gt;30,30*$AK$13+IF(J232&gt;60,30*$AK$14+IF(J232&gt;120,60*$AK$15,(J232-60)*$AK$15),(J232-30)*$AK$14),J232*$AK$13)+$AK$17*K232+L232*$AK$18)</f>
        <v>2233232.6855500001</v>
      </c>
      <c r="N232" s="221" t="s">
        <v>39</v>
      </c>
      <c r="O232" s="258">
        <f t="shared" si="44"/>
        <v>2233232.6855500001</v>
      </c>
      <c r="P232" s="258">
        <f t="shared" si="48"/>
        <v>1674924.5141624999</v>
      </c>
      <c r="Q232" s="258">
        <f t="shared" si="49"/>
        <v>2863816.4668499995</v>
      </c>
      <c r="R232" s="258">
        <f t="shared" si="50"/>
        <v>2363816.4668499995</v>
      </c>
      <c r="S232" s="258">
        <f t="shared" si="45"/>
        <v>2233232.6855500001</v>
      </c>
      <c r="T232" s="291"/>
      <c r="U232" s="259">
        <v>44</v>
      </c>
      <c r="V232" s="113" t="s">
        <v>291</v>
      </c>
      <c r="W232" t="s">
        <v>291</v>
      </c>
      <c r="X232" t="s">
        <v>291</v>
      </c>
      <c r="Z232" s="90" t="str">
        <f>C232&amp;A232</f>
        <v>44C3</v>
      </c>
      <c r="AA232" s="81">
        <v>44</v>
      </c>
      <c r="AB232" s="85">
        <v>4.6100000000000003</v>
      </c>
      <c r="AC232" s="91"/>
      <c r="AE232" s="153"/>
      <c r="AF232" s="153"/>
      <c r="AL232" s="130"/>
    </row>
    <row r="233" spans="1:38" ht="16.5" customHeight="1" x14ac:dyDescent="0.25">
      <c r="A233" s="284" t="s">
        <v>160</v>
      </c>
      <c r="B233" s="285">
        <v>39</v>
      </c>
      <c r="C233" s="285">
        <v>45</v>
      </c>
      <c r="D233" s="285" t="s">
        <v>202</v>
      </c>
      <c r="E233" s="285">
        <v>4</v>
      </c>
      <c r="F233" s="285">
        <v>4.5</v>
      </c>
      <c r="G233" s="285">
        <v>121.2</v>
      </c>
      <c r="H233" s="92">
        <f t="shared" si="46"/>
        <v>120</v>
      </c>
      <c r="I233" s="285">
        <f t="shared" si="47"/>
        <v>121.02</v>
      </c>
      <c r="J233" s="290">
        <v>18.87</v>
      </c>
      <c r="K233" s="248">
        <f>AB233</f>
        <v>4.6100000000000003</v>
      </c>
      <c r="L233" s="260">
        <v>1</v>
      </c>
      <c r="M233" s="258">
        <f>$K$6*(I233*$AK$12+IF(J233&gt;30,30*$AK$13+IF(J233&gt;60,30*$AK$14+IF(J233&gt;120,60*$AK$15,(J233-60)*$AK$15),(J233-30)*$AK$14),J233*$AK$13)+$AK$17*K233+L233*$AK$18)</f>
        <v>2355695.75648</v>
      </c>
      <c r="N233" s="221" t="s">
        <v>39</v>
      </c>
      <c r="O233" s="258">
        <f t="shared" si="44"/>
        <v>2355695.75648</v>
      </c>
      <c r="P233" s="258">
        <f t="shared" si="48"/>
        <v>1766771.81736</v>
      </c>
      <c r="Q233" s="258">
        <f t="shared" si="49"/>
        <v>3020858.6601599995</v>
      </c>
      <c r="R233" s="258">
        <f t="shared" si="50"/>
        <v>2520858.6601599995</v>
      </c>
      <c r="S233" s="258">
        <f t="shared" si="45"/>
        <v>2355695.75648</v>
      </c>
      <c r="T233" s="291"/>
      <c r="U233" s="259">
        <v>45</v>
      </c>
      <c r="V233" s="113" t="s">
        <v>291</v>
      </c>
      <c r="W233" t="s">
        <v>291</v>
      </c>
      <c r="X233" t="s">
        <v>291</v>
      </c>
      <c r="Z233" s="90" t="str">
        <f>C233&amp;A233</f>
        <v>45C3</v>
      </c>
      <c r="AA233" s="81">
        <v>45</v>
      </c>
      <c r="AB233" s="85">
        <v>4.6100000000000003</v>
      </c>
      <c r="AC233" s="91"/>
      <c r="AE233" s="153"/>
      <c r="AF233" s="153"/>
      <c r="AL233" s="130"/>
    </row>
    <row r="234" spans="1:38" ht="16.5" customHeight="1" x14ac:dyDescent="0.25">
      <c r="A234" s="284" t="s">
        <v>160</v>
      </c>
      <c r="B234" s="285">
        <v>39</v>
      </c>
      <c r="C234" s="285">
        <v>46</v>
      </c>
      <c r="D234" s="285" t="s">
        <v>203</v>
      </c>
      <c r="E234" s="285">
        <v>4</v>
      </c>
      <c r="F234" s="285">
        <v>2.5</v>
      </c>
      <c r="G234" s="285">
        <v>66.069999999999993</v>
      </c>
      <c r="H234" s="92">
        <f t="shared" si="46"/>
        <v>76</v>
      </c>
      <c r="I234" s="285">
        <f t="shared" si="47"/>
        <v>66.069999999999993</v>
      </c>
      <c r="J234" s="290">
        <v>6.09</v>
      </c>
      <c r="K234" s="248">
        <f>AB234</f>
        <v>4.72</v>
      </c>
      <c r="L234" s="248">
        <v>1</v>
      </c>
      <c r="M234" s="258">
        <f>$K$6*(I234*$AK$12+IF(J234&gt;30,30*$AK$13+IF(J234&gt;60,30*$AK$14+IF(J234&gt;120,60*$AK$15,(J234-60)*$AK$15),(J234-30)*$AK$14),J234*$AK$13)+$AK$17*K234+L234*$AK$18)</f>
        <v>1291608.2196599997</v>
      </c>
      <c r="N234" s="221" t="s">
        <v>39</v>
      </c>
      <c r="O234" s="258">
        <f t="shared" si="44"/>
        <v>1291608.2196599997</v>
      </c>
      <c r="P234" s="258">
        <f t="shared" si="48"/>
        <v>968706.16474499973</v>
      </c>
      <c r="Q234" s="258">
        <f t="shared" si="49"/>
        <v>1656311.4592199996</v>
      </c>
      <c r="R234" s="258">
        <f t="shared" si="50"/>
        <v>1156311.4592199996</v>
      </c>
      <c r="S234" s="258">
        <f t="shared" si="45"/>
        <v>1156311.4592199996</v>
      </c>
      <c r="T234" s="291"/>
      <c r="U234" s="259">
        <v>46</v>
      </c>
      <c r="V234" s="113" t="s">
        <v>291</v>
      </c>
      <c r="W234" t="s">
        <v>291</v>
      </c>
      <c r="X234" t="s">
        <v>291</v>
      </c>
      <c r="Z234" s="90" t="str">
        <f>C234&amp;A234</f>
        <v>46C3</v>
      </c>
      <c r="AA234" s="81">
        <v>46</v>
      </c>
      <c r="AB234" s="85">
        <v>4.72</v>
      </c>
      <c r="AC234" s="91"/>
      <c r="AE234" s="153"/>
      <c r="AF234" s="153"/>
      <c r="AL234" s="130"/>
    </row>
    <row r="235" spans="1:38" ht="16.5" customHeight="1" x14ac:dyDescent="0.25">
      <c r="A235" s="284" t="s">
        <v>160</v>
      </c>
      <c r="B235" s="285">
        <v>39</v>
      </c>
      <c r="C235" s="285">
        <v>47</v>
      </c>
      <c r="D235" s="285" t="s">
        <v>204</v>
      </c>
      <c r="E235" s="285">
        <v>4</v>
      </c>
      <c r="F235" s="285">
        <v>4.5</v>
      </c>
      <c r="G235" s="285">
        <v>120.17</v>
      </c>
      <c r="H235" s="92">
        <f t="shared" si="46"/>
        <v>120</v>
      </c>
      <c r="I235" s="285">
        <f t="shared" si="47"/>
        <v>120.14450000000001</v>
      </c>
      <c r="J235" s="290">
        <v>18.239999999999998</v>
      </c>
      <c r="K235" s="248">
        <f>AB235</f>
        <v>4.6100000000000003</v>
      </c>
      <c r="L235" s="248">
        <v>1</v>
      </c>
      <c r="M235" s="258">
        <f>$K$6*(I235*$AK$12+IF(J235&gt;30,30*$AK$13+IF(J235&gt;60,30*$AK$14+IF(J235&gt;120,60*$AK$15,(J235-60)*$AK$15),(J235-30)*$AK$14),J235*$AK$13)+$AK$17*K235+L235*$AK$18)</f>
        <v>2336415.7240900001</v>
      </c>
      <c r="N235" s="221" t="s">
        <v>39</v>
      </c>
      <c r="O235" s="258">
        <f t="shared" si="44"/>
        <v>2336415.7240900001</v>
      </c>
      <c r="P235" s="258">
        <f t="shared" si="48"/>
        <v>1752311.7930675</v>
      </c>
      <c r="Q235" s="258">
        <f t="shared" si="49"/>
        <v>2996134.6470300001</v>
      </c>
      <c r="R235" s="258">
        <f t="shared" si="50"/>
        <v>2496134.6470300001</v>
      </c>
      <c r="S235" s="258">
        <f t="shared" si="45"/>
        <v>2336415.7240900001</v>
      </c>
      <c r="T235" s="291"/>
      <c r="U235" s="259">
        <v>47</v>
      </c>
      <c r="V235" s="113" t="s">
        <v>291</v>
      </c>
      <c r="W235" t="s">
        <v>291</v>
      </c>
      <c r="X235" t="s">
        <v>291</v>
      </c>
      <c r="Z235" s="90" t="str">
        <f>C235&amp;A235</f>
        <v>47C3</v>
      </c>
      <c r="AA235" s="81">
        <v>47</v>
      </c>
      <c r="AB235" s="85">
        <v>4.6100000000000003</v>
      </c>
      <c r="AC235" s="91"/>
      <c r="AE235" s="153"/>
      <c r="AF235" s="153"/>
      <c r="AL235" s="130"/>
    </row>
    <row r="236" spans="1:38" ht="16.5" customHeight="1" x14ac:dyDescent="0.25">
      <c r="A236" s="284" t="s">
        <v>160</v>
      </c>
      <c r="B236" s="285">
        <v>39</v>
      </c>
      <c r="C236" s="285">
        <v>48</v>
      </c>
      <c r="D236" s="285" t="s">
        <v>205</v>
      </c>
      <c r="E236" s="285">
        <v>4</v>
      </c>
      <c r="F236" s="285">
        <v>4</v>
      </c>
      <c r="G236" s="285">
        <v>106.93</v>
      </c>
      <c r="H236" s="92">
        <f t="shared" si="46"/>
        <v>110</v>
      </c>
      <c r="I236" s="285">
        <f t="shared" si="47"/>
        <v>106.93</v>
      </c>
      <c r="J236" s="290">
        <v>21.86</v>
      </c>
      <c r="K236" s="248">
        <f>AB236</f>
        <v>4.6100000000000003</v>
      </c>
      <c r="L236" s="248">
        <v>1</v>
      </c>
      <c r="M236" s="258">
        <f>$K$6*(I236*$AK$12+IF(J236&gt;30,30*$AK$13+IF(J236&gt;60,30*$AK$14+IF(J236&gt;120,60*$AK$15,(J236-60)*$AK$15),(J236-30)*$AK$14),J236*$AK$13)+$AK$17*K236+L236*$AK$18)</f>
        <v>2116746.5152199999</v>
      </c>
      <c r="N236" s="221" t="s">
        <v>39</v>
      </c>
      <c r="O236" s="258">
        <f t="shared" si="44"/>
        <v>2116746.5152199999</v>
      </c>
      <c r="P236" s="258">
        <f t="shared" si="48"/>
        <v>1587559.8864150001</v>
      </c>
      <c r="Q236" s="258">
        <f t="shared" si="49"/>
        <v>2714438.8337399997</v>
      </c>
      <c r="R236" s="258">
        <f t="shared" si="50"/>
        <v>2214438.8337399997</v>
      </c>
      <c r="S236" s="258">
        <f t="shared" si="45"/>
        <v>2116746.5152199999</v>
      </c>
      <c r="T236" s="291"/>
      <c r="U236" s="259">
        <v>48</v>
      </c>
      <c r="V236" s="113" t="s">
        <v>291</v>
      </c>
      <c r="W236" t="s">
        <v>291</v>
      </c>
      <c r="X236" t="s">
        <v>291</v>
      </c>
      <c r="Z236" s="90" t="str">
        <f>C236&amp;A236</f>
        <v>48C3</v>
      </c>
      <c r="AA236" s="81">
        <v>48</v>
      </c>
      <c r="AB236" s="85">
        <v>4.6100000000000003</v>
      </c>
      <c r="AC236" s="91"/>
      <c r="AE236" s="153"/>
      <c r="AF236" s="153"/>
      <c r="AL236" s="130"/>
    </row>
    <row r="237" spans="1:38" ht="16.5" customHeight="1" x14ac:dyDescent="0.25">
      <c r="A237" s="284" t="s">
        <v>160</v>
      </c>
      <c r="B237" s="285">
        <v>39</v>
      </c>
      <c r="C237" s="285">
        <v>49</v>
      </c>
      <c r="D237" s="285" t="s">
        <v>206</v>
      </c>
      <c r="E237" s="285">
        <v>4</v>
      </c>
      <c r="F237" s="285">
        <v>3</v>
      </c>
      <c r="G237" s="285">
        <v>77.680000000000007</v>
      </c>
      <c r="H237" s="92">
        <f t="shared" si="46"/>
        <v>90</v>
      </c>
      <c r="I237" s="285">
        <f t="shared" si="47"/>
        <v>77.680000000000007</v>
      </c>
      <c r="J237" s="290">
        <v>20.53</v>
      </c>
      <c r="K237" s="248">
        <f>AB237</f>
        <v>4.6100000000000003</v>
      </c>
      <c r="L237" s="260">
        <v>1</v>
      </c>
      <c r="M237" s="258">
        <f>$K$6*(I237*$AK$12+IF(J237&gt;30,30*$AK$13+IF(J237&gt;60,30*$AK$14+IF(J237&gt;120,60*$AK$15,(J237-60)*$AK$15),(J237-30)*$AK$14),J237*$AK$13)+$AK$17*K237+L237*$AK$18)</f>
        <v>1579749.1640400002</v>
      </c>
      <c r="N237" s="221" t="s">
        <v>39</v>
      </c>
      <c r="O237" s="258">
        <f t="shared" si="44"/>
        <v>1579749.1640400002</v>
      </c>
      <c r="P237" s="258">
        <f t="shared" si="48"/>
        <v>1184811.8730300001</v>
      </c>
      <c r="Q237" s="258">
        <f t="shared" si="49"/>
        <v>2025812.9386800001</v>
      </c>
      <c r="R237" s="258">
        <f t="shared" si="50"/>
        <v>1525812.9386800001</v>
      </c>
      <c r="S237" s="258">
        <f t="shared" si="45"/>
        <v>1525812.9386800001</v>
      </c>
      <c r="T237" s="291"/>
      <c r="U237" s="259">
        <v>49</v>
      </c>
      <c r="V237" s="113" t="s">
        <v>291</v>
      </c>
      <c r="W237" t="s">
        <v>291</v>
      </c>
      <c r="X237" t="s">
        <v>291</v>
      </c>
      <c r="Z237" s="90" t="str">
        <f>C237&amp;A237</f>
        <v>49C3</v>
      </c>
      <c r="AA237" s="81">
        <v>49</v>
      </c>
      <c r="AB237" s="85">
        <v>4.6100000000000003</v>
      </c>
      <c r="AC237" s="91"/>
      <c r="AE237" s="153"/>
      <c r="AF237" s="153"/>
      <c r="AL237" s="130"/>
    </row>
    <row r="238" spans="1:38" ht="16.5" customHeight="1" x14ac:dyDescent="0.25">
      <c r="A238" s="284" t="s">
        <v>160</v>
      </c>
      <c r="B238" s="285">
        <v>39</v>
      </c>
      <c r="C238" s="285">
        <v>50</v>
      </c>
      <c r="D238" s="285" t="s">
        <v>206</v>
      </c>
      <c r="E238" s="285">
        <v>4</v>
      </c>
      <c r="F238" s="285">
        <v>3</v>
      </c>
      <c r="G238" s="285">
        <v>77.680000000000007</v>
      </c>
      <c r="H238" s="92">
        <f t="shared" si="46"/>
        <v>90</v>
      </c>
      <c r="I238" s="285">
        <f t="shared" si="47"/>
        <v>77.680000000000007</v>
      </c>
      <c r="J238" s="290">
        <v>20.53</v>
      </c>
      <c r="K238" s="260">
        <f>AB238</f>
        <v>4.6100000000000003</v>
      </c>
      <c r="L238" s="248">
        <v>1</v>
      </c>
      <c r="M238" s="258">
        <f>$K$6*(I238*$AK$12+IF(J238&gt;30,30*$AK$13+IF(J238&gt;60,30*$AK$14+IF(J238&gt;120,60*$AK$15,(J238-60)*$AK$15),(J238-30)*$AK$14),J238*$AK$13)+$AK$17*K238+L238*$AK$18)</f>
        <v>1579749.1640400002</v>
      </c>
      <c r="N238" s="221" t="s">
        <v>39</v>
      </c>
      <c r="O238" s="258">
        <f t="shared" si="44"/>
        <v>1579749.1640400002</v>
      </c>
      <c r="P238" s="258">
        <f t="shared" si="48"/>
        <v>1184811.8730300001</v>
      </c>
      <c r="Q238" s="258">
        <f t="shared" si="49"/>
        <v>2025812.9386800001</v>
      </c>
      <c r="R238" s="258">
        <f t="shared" si="50"/>
        <v>1525812.9386800001</v>
      </c>
      <c r="S238" s="258">
        <f t="shared" si="45"/>
        <v>1525812.9386800001</v>
      </c>
      <c r="T238" s="291"/>
      <c r="U238" s="264">
        <v>50</v>
      </c>
      <c r="V238" s="113" t="s">
        <v>291</v>
      </c>
      <c r="W238" t="s">
        <v>291</v>
      </c>
      <c r="X238" t="s">
        <v>291</v>
      </c>
      <c r="Z238" s="90" t="str">
        <f>C238&amp;A238</f>
        <v>50C3</v>
      </c>
      <c r="AA238" s="81">
        <v>50</v>
      </c>
      <c r="AB238" s="85">
        <v>4.6100000000000003</v>
      </c>
      <c r="AC238" s="91"/>
      <c r="AE238" s="153"/>
      <c r="AF238" s="153"/>
      <c r="AL238" s="130"/>
    </row>
    <row r="239" spans="1:38" ht="16.5" customHeight="1" x14ac:dyDescent="0.25">
      <c r="A239" s="284" t="s">
        <v>160</v>
      </c>
      <c r="B239" s="285">
        <v>39</v>
      </c>
      <c r="C239" s="285">
        <v>51</v>
      </c>
      <c r="D239" s="285" t="s">
        <v>206</v>
      </c>
      <c r="E239" s="285">
        <v>4</v>
      </c>
      <c r="F239" s="285">
        <v>3</v>
      </c>
      <c r="G239" s="285">
        <v>77.680000000000007</v>
      </c>
      <c r="H239" s="92">
        <f t="shared" si="46"/>
        <v>90</v>
      </c>
      <c r="I239" s="285">
        <f t="shared" si="47"/>
        <v>77.680000000000007</v>
      </c>
      <c r="J239" s="290">
        <v>20.53</v>
      </c>
      <c r="K239" s="248">
        <f>AB239</f>
        <v>8.4600000000000009</v>
      </c>
      <c r="L239" s="248">
        <v>1</v>
      </c>
      <c r="M239" s="258">
        <f>$K$6*(I239*$AK$12+IF(J239&gt;30,30*$AK$13+IF(J239&gt;60,30*$AK$14+IF(J239&gt;120,60*$AK$15,(J239-60)*$AK$15),(J239-30)*$AK$14),J239*$AK$13)+$AK$17*K239+L239*$AK$18)</f>
        <v>1600668.3161400002</v>
      </c>
      <c r="N239" s="221" t="s">
        <v>39</v>
      </c>
      <c r="O239" s="258">
        <f t="shared" si="44"/>
        <v>1600668.3161400002</v>
      </c>
      <c r="P239" s="258">
        <f t="shared" si="48"/>
        <v>1200501.2371050003</v>
      </c>
      <c r="Q239" s="258">
        <f t="shared" si="49"/>
        <v>2052638.8993800001</v>
      </c>
      <c r="R239" s="258">
        <f t="shared" si="50"/>
        <v>1552638.8993800001</v>
      </c>
      <c r="S239" s="258">
        <f t="shared" si="45"/>
        <v>1552638.8993800001</v>
      </c>
      <c r="T239" s="291"/>
      <c r="U239" s="264">
        <v>51</v>
      </c>
      <c r="V239" s="113" t="s">
        <v>291</v>
      </c>
      <c r="W239" t="s">
        <v>291</v>
      </c>
      <c r="X239" t="s">
        <v>291</v>
      </c>
      <c r="Z239" s="90" t="str">
        <f>C239&amp;A239</f>
        <v>51C3</v>
      </c>
      <c r="AA239" s="81">
        <v>51</v>
      </c>
      <c r="AB239" s="85">
        <v>8.4600000000000009</v>
      </c>
      <c r="AC239" s="91"/>
      <c r="AE239" s="153"/>
      <c r="AF239" s="153"/>
      <c r="AL239" s="130"/>
    </row>
    <row r="240" spans="1:38" ht="16.5" customHeight="1" x14ac:dyDescent="0.25">
      <c r="A240" s="284" t="s">
        <v>160</v>
      </c>
      <c r="B240" s="285">
        <v>39</v>
      </c>
      <c r="C240" s="285">
        <v>52</v>
      </c>
      <c r="D240" s="285" t="s">
        <v>207</v>
      </c>
      <c r="E240" s="285">
        <v>4</v>
      </c>
      <c r="F240" s="285">
        <v>4</v>
      </c>
      <c r="G240" s="285">
        <v>114.23</v>
      </c>
      <c r="H240" s="92">
        <f t="shared" si="46"/>
        <v>110</v>
      </c>
      <c r="I240" s="285">
        <f t="shared" si="47"/>
        <v>113.5955</v>
      </c>
      <c r="J240" s="290">
        <v>24.77</v>
      </c>
      <c r="K240" s="248">
        <f>AB240</f>
        <v>8.2200000000000006</v>
      </c>
      <c r="L240" s="248">
        <v>1</v>
      </c>
      <c r="M240" s="258">
        <f>$K$6*(I240*$AK$12+IF(J240&gt;30,30*$AK$13+IF(J240&gt;60,30*$AK$14+IF(J240&gt;120,60*$AK$15,(J240-60)*$AK$15),(J240-30)*$AK$14),J240*$AK$13)+$AK$17*K240+L240*$AK$18)</f>
        <v>2272897.5713499999</v>
      </c>
      <c r="N240" s="221" t="s">
        <v>39</v>
      </c>
      <c r="O240" s="258">
        <f t="shared" si="44"/>
        <v>2272897.5713499999</v>
      </c>
      <c r="P240" s="258">
        <f t="shared" si="48"/>
        <v>1704673.1785124999</v>
      </c>
      <c r="Q240" s="258">
        <f t="shared" si="49"/>
        <v>2914681.2754499996</v>
      </c>
      <c r="R240" s="258">
        <f t="shared" si="50"/>
        <v>2414681.2754499996</v>
      </c>
      <c r="S240" s="258">
        <f t="shared" si="45"/>
        <v>2272897.5713499999</v>
      </c>
      <c r="T240" s="291"/>
      <c r="U240" s="264">
        <v>52</v>
      </c>
      <c r="V240" s="113" t="s">
        <v>291</v>
      </c>
      <c r="W240" t="s">
        <v>291</v>
      </c>
      <c r="X240" t="s">
        <v>291</v>
      </c>
      <c r="Z240" s="90" t="str">
        <f>C240&amp;A240</f>
        <v>52C3</v>
      </c>
      <c r="AA240" s="81">
        <v>52</v>
      </c>
      <c r="AB240" s="85">
        <v>8.2200000000000006</v>
      </c>
      <c r="AC240" s="91"/>
      <c r="AE240" s="153"/>
      <c r="AF240" s="153"/>
      <c r="AL240" s="130"/>
    </row>
    <row r="241" spans="1:38" ht="16.5" customHeight="1" x14ac:dyDescent="0.25">
      <c r="A241" s="284" t="s">
        <v>160</v>
      </c>
      <c r="B241" s="285">
        <v>39</v>
      </c>
      <c r="C241" s="285">
        <v>53</v>
      </c>
      <c r="D241" s="285" t="s">
        <v>208</v>
      </c>
      <c r="E241" s="285">
        <v>5</v>
      </c>
      <c r="F241" s="285">
        <v>6</v>
      </c>
      <c r="G241" s="285">
        <v>144.88</v>
      </c>
      <c r="H241" s="92">
        <f t="shared" si="46"/>
        <v>145</v>
      </c>
      <c r="I241" s="285">
        <f t="shared" si="47"/>
        <v>144.88</v>
      </c>
      <c r="J241" s="290">
        <v>29.76</v>
      </c>
      <c r="K241" s="266">
        <f>AH185</f>
        <v>12.52</v>
      </c>
      <c r="L241" s="260">
        <v>1</v>
      </c>
      <c r="M241" s="258">
        <f>$K$6*(I241*$AK$12+IF(J241&gt;30,30*$AK$13+IF(J241&gt;60,30*$AK$14+IF(J241&gt;120,60*$AK$15,(J241-60)*$AK$15),(J241-30)*$AK$14),J241*$AK$13)+$AK$17*K241+L241*$AK$18)</f>
        <v>2889994.4464799999</v>
      </c>
      <c r="N241" s="221" t="s">
        <v>36</v>
      </c>
      <c r="O241" s="258">
        <f t="shared" si="44"/>
        <v>2889994.4464799999</v>
      </c>
      <c r="P241" s="258">
        <f t="shared" si="48"/>
        <v>2167495.8348599998</v>
      </c>
      <c r="Q241" s="258">
        <f t="shared" si="49"/>
        <v>3706023.8901599995</v>
      </c>
      <c r="R241" s="258">
        <f t="shared" si="50"/>
        <v>3206023.8901599995</v>
      </c>
      <c r="S241" s="258"/>
      <c r="T241" s="291"/>
      <c r="U241" s="300" t="s">
        <v>280</v>
      </c>
      <c r="V241" s="113"/>
      <c r="Z241" s="129" t="s">
        <v>262</v>
      </c>
      <c r="AA241" s="128">
        <v>53</v>
      </c>
      <c r="AB241" s="85">
        <v>5.52</v>
      </c>
      <c r="AC241" s="91"/>
      <c r="AE241" s="153"/>
      <c r="AF241" s="153"/>
      <c r="AL241" s="130"/>
    </row>
    <row r="242" spans="1:38" ht="16.5" customHeight="1" x14ac:dyDescent="0.25">
      <c r="A242" s="284" t="s">
        <v>160</v>
      </c>
      <c r="B242" s="285">
        <v>39</v>
      </c>
      <c r="C242" s="285">
        <v>54</v>
      </c>
      <c r="D242" s="285" t="s">
        <v>209</v>
      </c>
      <c r="E242" s="285">
        <v>5</v>
      </c>
      <c r="F242" s="285">
        <v>6</v>
      </c>
      <c r="G242" s="285">
        <v>143.91999999999999</v>
      </c>
      <c r="H242" s="92">
        <f t="shared" si="46"/>
        <v>145</v>
      </c>
      <c r="I242" s="285">
        <f t="shared" si="47"/>
        <v>143.91999999999999</v>
      </c>
      <c r="J242" s="290">
        <v>29.76</v>
      </c>
      <c r="K242" s="265">
        <f>AB185</f>
        <v>6.28</v>
      </c>
      <c r="L242" s="248">
        <v>1</v>
      </c>
      <c r="M242" s="258">
        <f>$K$6*(I242*$AK$12+IF(J242&gt;30,30*$AK$13+IF(J242&gt;60,30*$AK$14+IF(J242&gt;120,60*$AK$15,(J242-60)*$AK$15),(J242-30)*$AK$14),J242*$AK$13)+$AK$17*K242+L242*$AK$18)</f>
        <v>2838701.7722399994</v>
      </c>
      <c r="N242" s="221" t="s">
        <v>36</v>
      </c>
      <c r="O242" s="258">
        <f t="shared" si="44"/>
        <v>2838701.7722399994</v>
      </c>
      <c r="P242" s="258">
        <f t="shared" si="48"/>
        <v>2129026.3291799994</v>
      </c>
      <c r="Q242" s="258">
        <f t="shared" si="49"/>
        <v>3640248.0280799991</v>
      </c>
      <c r="R242" s="258">
        <f t="shared" si="50"/>
        <v>3140248.0280799991</v>
      </c>
      <c r="S242" s="258"/>
      <c r="T242" s="291"/>
      <c r="U242" s="300" t="s">
        <v>278</v>
      </c>
      <c r="V242" s="113"/>
      <c r="Z242" s="129" t="s">
        <v>263</v>
      </c>
      <c r="AA242" s="128">
        <v>54</v>
      </c>
      <c r="AB242" s="85">
        <v>5.52</v>
      </c>
      <c r="AC242" s="91"/>
      <c r="AE242" s="153"/>
      <c r="AF242" s="153"/>
      <c r="AL242" s="130"/>
    </row>
    <row r="243" spans="1:38" ht="16.5" customHeight="1" x14ac:dyDescent="0.25">
      <c r="A243" s="284" t="s">
        <v>160</v>
      </c>
      <c r="B243" s="285">
        <v>39</v>
      </c>
      <c r="C243" s="285">
        <v>55</v>
      </c>
      <c r="D243" s="285" t="s">
        <v>210</v>
      </c>
      <c r="E243" s="285">
        <v>5</v>
      </c>
      <c r="F243" s="285">
        <v>4</v>
      </c>
      <c r="G243" s="285">
        <v>106.93</v>
      </c>
      <c r="H243" s="92">
        <f t="shared" si="46"/>
        <v>110</v>
      </c>
      <c r="I243" s="285">
        <f t="shared" si="47"/>
        <v>106.93</v>
      </c>
      <c r="J243" s="290">
        <v>11.19</v>
      </c>
      <c r="K243" s="265">
        <f>AB248</f>
        <v>5.81</v>
      </c>
      <c r="L243" s="248">
        <v>1</v>
      </c>
      <c r="M243" s="258">
        <f>$K$6*(I243*$AK$12+IF(J243&gt;30,30*$AK$13+IF(J243&gt;60,30*$AK$14+IF(J243&gt;120,60*$AK$15,(J243-60)*$AK$15),(J243-30)*$AK$14),J243*$AK$13)+$AK$17*K243+L243*$AK$18)</f>
        <v>2065290.8345999999</v>
      </c>
      <c r="N243" s="221" t="s">
        <v>39</v>
      </c>
      <c r="O243" s="258">
        <f t="shared" si="44"/>
        <v>2065290.8345999999</v>
      </c>
      <c r="P243" s="258">
        <f t="shared" si="48"/>
        <v>1548968.12595</v>
      </c>
      <c r="Q243" s="258">
        <f t="shared" si="49"/>
        <v>2648453.9381999997</v>
      </c>
      <c r="R243" s="258">
        <f t="shared" si="50"/>
        <v>2148453.9381999997</v>
      </c>
      <c r="S243" s="258">
        <f t="shared" si="45"/>
        <v>2065290.8345999999</v>
      </c>
      <c r="T243" s="291"/>
      <c r="U243" s="264">
        <v>60</v>
      </c>
      <c r="V243" s="113" t="s">
        <v>291</v>
      </c>
      <c r="W243" t="s">
        <v>291</v>
      </c>
      <c r="X243" t="s">
        <v>291</v>
      </c>
      <c r="Z243" s="129" t="s">
        <v>265</v>
      </c>
      <c r="AA243" s="128">
        <v>55</v>
      </c>
      <c r="AB243" s="217">
        <v>8.93</v>
      </c>
      <c r="AC243" s="91"/>
      <c r="AE243" s="153"/>
      <c r="AF243" s="153"/>
      <c r="AL243" s="130"/>
    </row>
    <row r="244" spans="1:38" ht="16.5" customHeight="1" x14ac:dyDescent="0.25">
      <c r="A244" s="284" t="s">
        <v>160</v>
      </c>
      <c r="B244" s="285">
        <v>39</v>
      </c>
      <c r="C244" s="285">
        <v>56</v>
      </c>
      <c r="D244" s="285" t="s">
        <v>211</v>
      </c>
      <c r="E244" s="285">
        <v>5</v>
      </c>
      <c r="F244" s="285">
        <v>3</v>
      </c>
      <c r="G244" s="285">
        <v>77.680000000000007</v>
      </c>
      <c r="H244" s="92">
        <f t="shared" si="46"/>
        <v>90</v>
      </c>
      <c r="I244" s="285">
        <f t="shared" si="47"/>
        <v>77.680000000000007</v>
      </c>
      <c r="J244" s="290">
        <v>10.53</v>
      </c>
      <c r="K244" s="266">
        <f>AB249</f>
        <v>5.71</v>
      </c>
      <c r="L244" s="248">
        <v>1</v>
      </c>
      <c r="M244" s="258">
        <f>$K$6*(I244*$AK$12+IF(J244&gt;30,30*$AK$13+IF(J244&gt;60,30*$AK$14+IF(J244&gt;120,60*$AK$15,(J244-60)*$AK$15),(J244-30)*$AK$14),J244*$AK$13)+$AK$17*K244+L244*$AK$18)</f>
        <v>1531390.60464</v>
      </c>
      <c r="N244" s="221" t="s">
        <v>39</v>
      </c>
      <c r="O244" s="258">
        <f t="shared" si="44"/>
        <v>1531390.60464</v>
      </c>
      <c r="P244" s="258">
        <f t="shared" si="48"/>
        <v>1148542.9534800001</v>
      </c>
      <c r="Q244" s="258">
        <f t="shared" si="49"/>
        <v>1963799.67888</v>
      </c>
      <c r="R244" s="258">
        <f t="shared" si="50"/>
        <v>1463799.67888</v>
      </c>
      <c r="S244" s="258">
        <f t="shared" si="45"/>
        <v>1463799.67888</v>
      </c>
      <c r="T244" s="291"/>
      <c r="U244" s="264">
        <v>61</v>
      </c>
      <c r="V244" s="113" t="s">
        <v>291</v>
      </c>
      <c r="W244" t="s">
        <v>291</v>
      </c>
      <c r="X244" t="s">
        <v>291</v>
      </c>
      <c r="Z244" s="129" t="s">
        <v>266</v>
      </c>
      <c r="AA244" s="128">
        <v>56</v>
      </c>
      <c r="AB244" s="217">
        <v>7.4</v>
      </c>
      <c r="AC244" s="91"/>
      <c r="AE244" s="153"/>
      <c r="AF244" s="153"/>
      <c r="AL244" s="130"/>
    </row>
    <row r="245" spans="1:38" ht="16.5" customHeight="1" x14ac:dyDescent="0.25">
      <c r="A245" s="284" t="s">
        <v>160</v>
      </c>
      <c r="B245" s="285">
        <v>39</v>
      </c>
      <c r="C245" s="285">
        <v>57</v>
      </c>
      <c r="D245" s="285" t="s">
        <v>211</v>
      </c>
      <c r="E245" s="285">
        <v>5</v>
      </c>
      <c r="F245" s="285">
        <v>3</v>
      </c>
      <c r="G245" s="285">
        <v>77.680000000000007</v>
      </c>
      <c r="H245" s="92">
        <f t="shared" si="46"/>
        <v>90</v>
      </c>
      <c r="I245" s="285">
        <f t="shared" si="47"/>
        <v>77.680000000000007</v>
      </c>
      <c r="J245" s="290">
        <v>10.53</v>
      </c>
      <c r="K245" s="265">
        <f>AB250</f>
        <v>5.77</v>
      </c>
      <c r="L245" s="260">
        <v>1</v>
      </c>
      <c r="M245" s="258">
        <f>$K$6*(I245*$AK$12+IF(J245&gt;30,30*$AK$13+IF(J245&gt;60,30*$AK$14+IF(J245&gt;120,60*$AK$15,(J245-60)*$AK$15),(J245-30)*$AK$14),J245*$AK$13)+$AK$17*K245+L245*$AK$18)</f>
        <v>1531716.6174000001</v>
      </c>
      <c r="N245" s="221" t="s">
        <v>39</v>
      </c>
      <c r="O245" s="258">
        <f t="shared" si="44"/>
        <v>1531716.6174000001</v>
      </c>
      <c r="P245" s="258">
        <f t="shared" si="48"/>
        <v>1148787.4630500001</v>
      </c>
      <c r="Q245" s="258">
        <f t="shared" si="49"/>
        <v>1964217.7458000001</v>
      </c>
      <c r="R245" s="258">
        <f t="shared" si="50"/>
        <v>1464217.7458000001</v>
      </c>
      <c r="S245" s="258">
        <f t="shared" si="45"/>
        <v>1464217.7458000001</v>
      </c>
      <c r="T245" s="291"/>
      <c r="U245" s="264">
        <v>62</v>
      </c>
      <c r="V245" s="113" t="s">
        <v>291</v>
      </c>
      <c r="W245" t="s">
        <v>291</v>
      </c>
      <c r="X245" t="s">
        <v>291</v>
      </c>
      <c r="Z245" s="129" t="s">
        <v>267</v>
      </c>
      <c r="AA245" s="128">
        <v>57</v>
      </c>
      <c r="AB245" s="217">
        <v>7.4</v>
      </c>
      <c r="AC245" s="91"/>
      <c r="AE245" s="153"/>
      <c r="AF245" s="153"/>
      <c r="AL245" s="130"/>
    </row>
    <row r="246" spans="1:38" ht="16.5" customHeight="1" x14ac:dyDescent="0.25">
      <c r="A246" s="284" t="s">
        <v>160</v>
      </c>
      <c r="B246" s="285">
        <v>39</v>
      </c>
      <c r="C246" s="285">
        <v>58</v>
      </c>
      <c r="D246" s="285" t="s">
        <v>211</v>
      </c>
      <c r="E246" s="285">
        <v>5</v>
      </c>
      <c r="F246" s="285">
        <v>3</v>
      </c>
      <c r="G246" s="285">
        <v>77.680000000000007</v>
      </c>
      <c r="H246" s="92">
        <f t="shared" si="46"/>
        <v>90</v>
      </c>
      <c r="I246" s="285">
        <f t="shared" si="47"/>
        <v>77.680000000000007</v>
      </c>
      <c r="J246" s="290">
        <v>10.53</v>
      </c>
      <c r="K246" s="248">
        <f>AB246</f>
        <v>7.4</v>
      </c>
      <c r="L246" s="248">
        <v>1</v>
      </c>
      <c r="M246" s="258">
        <f>$K$6*(I246*$AK$12+IF(J246&gt;30,30*$AK$13+IF(J246&gt;60,30*$AK$14+IF(J246&gt;120,60*$AK$15,(J246-60)*$AK$15),(J246-30)*$AK$14),J246*$AK$13)+$AK$17*K246+L246*$AK$18)</f>
        <v>1540573.2973800001</v>
      </c>
      <c r="N246" s="221" t="s">
        <v>39</v>
      </c>
      <c r="O246" s="258">
        <f t="shared" si="44"/>
        <v>1540573.2973800001</v>
      </c>
      <c r="P246" s="258">
        <f t="shared" si="48"/>
        <v>1155429.973035</v>
      </c>
      <c r="Q246" s="258">
        <f t="shared" si="49"/>
        <v>1975575.2304600002</v>
      </c>
      <c r="R246" s="258">
        <f t="shared" si="50"/>
        <v>1475575.2304600002</v>
      </c>
      <c r="S246" s="258">
        <f t="shared" si="45"/>
        <v>1475575.2304600002</v>
      </c>
      <c r="T246" s="291"/>
      <c r="U246" s="264">
        <v>58</v>
      </c>
      <c r="V246" s="113" t="s">
        <v>291</v>
      </c>
      <c r="W246" t="s">
        <v>291</v>
      </c>
      <c r="X246" t="s">
        <v>291</v>
      </c>
      <c r="Z246" s="90" t="str">
        <f>C246&amp;A246</f>
        <v>58C3</v>
      </c>
      <c r="AA246" s="81">
        <v>58</v>
      </c>
      <c r="AB246" s="217">
        <v>7.4</v>
      </c>
      <c r="AC246" s="91"/>
      <c r="AE246" s="153"/>
      <c r="AF246" s="153"/>
      <c r="AL246" s="130"/>
    </row>
    <row r="247" spans="1:38" ht="16.5" customHeight="1" x14ac:dyDescent="0.25">
      <c r="A247" s="284" t="s">
        <v>160</v>
      </c>
      <c r="B247" s="285">
        <v>39</v>
      </c>
      <c r="C247" s="285">
        <v>59</v>
      </c>
      <c r="D247" s="285" t="s">
        <v>212</v>
      </c>
      <c r="E247" s="285">
        <v>5</v>
      </c>
      <c r="F247" s="285">
        <v>4</v>
      </c>
      <c r="G247" s="285">
        <v>114.23</v>
      </c>
      <c r="H247" s="92">
        <f t="shared" si="46"/>
        <v>110</v>
      </c>
      <c r="I247" s="285">
        <f t="shared" si="47"/>
        <v>113.5955</v>
      </c>
      <c r="J247" s="290">
        <v>12.65</v>
      </c>
      <c r="K247" s="260">
        <f>AB247</f>
        <v>7.4</v>
      </c>
      <c r="L247" s="248">
        <v>1</v>
      </c>
      <c r="M247" s="258">
        <f>$K$6*(I247*$AK$12+IF(J247&gt;30,30*$AK$13+IF(J247&gt;60,30*$AK$14+IF(J247&gt;120,60*$AK$15,(J247-60)*$AK$15),(J247-30)*$AK$14),J247*$AK$13)+$AK$17*K247+L247*$AK$18)</f>
        <v>2202587.4861099999</v>
      </c>
      <c r="N247" s="221" t="s">
        <v>39</v>
      </c>
      <c r="O247" s="258">
        <f t="shared" si="44"/>
        <v>2202587.4861099999</v>
      </c>
      <c r="P247" s="258">
        <f t="shared" si="48"/>
        <v>1651940.6145825</v>
      </c>
      <c r="Q247" s="258">
        <f t="shared" si="49"/>
        <v>2824518.17637</v>
      </c>
      <c r="R247" s="258">
        <f t="shared" si="50"/>
        <v>2324518.17637</v>
      </c>
      <c r="S247" s="258">
        <f t="shared" si="45"/>
        <v>2202587.4861099999</v>
      </c>
      <c r="T247" s="291"/>
      <c r="U247" s="264">
        <v>59</v>
      </c>
      <c r="V247" s="113" t="s">
        <v>291</v>
      </c>
      <c r="W247" t="s">
        <v>291</v>
      </c>
      <c r="X247" t="s">
        <v>291</v>
      </c>
      <c r="Z247" s="90" t="str">
        <f>C247&amp;A247</f>
        <v>59C3</v>
      </c>
      <c r="AA247" s="81">
        <v>59</v>
      </c>
      <c r="AB247" s="217">
        <v>7.4</v>
      </c>
      <c r="AC247" s="91"/>
      <c r="AE247" s="153"/>
      <c r="AF247" s="153"/>
      <c r="AL247" s="130"/>
    </row>
    <row r="248" spans="1:38" ht="16.5" customHeight="1" x14ac:dyDescent="0.25">
      <c r="A248" s="284" t="s">
        <v>160</v>
      </c>
      <c r="B248" s="285">
        <v>39</v>
      </c>
      <c r="C248" s="285">
        <v>60</v>
      </c>
      <c r="D248" s="285" t="s">
        <v>213</v>
      </c>
      <c r="E248" s="285" t="s">
        <v>247</v>
      </c>
      <c r="F248" s="285">
        <v>6</v>
      </c>
      <c r="G248" s="285">
        <v>184.37</v>
      </c>
      <c r="H248" s="93">
        <f t="shared" si="46"/>
        <v>145</v>
      </c>
      <c r="I248" s="285">
        <f t="shared" si="47"/>
        <v>178.46449999999999</v>
      </c>
      <c r="J248" s="290">
        <v>65.2</v>
      </c>
      <c r="K248" s="265">
        <f>AB243</f>
        <v>8.93</v>
      </c>
      <c r="L248" s="248">
        <v>1</v>
      </c>
      <c r="M248" s="258">
        <f>$K$6*(I248*$AK$12+IF(J248&gt;30,30*$AK$13+IF(J248&gt;60,30*$AK$14+IF(J248&gt;120,60*$AK$15,(J248-60)*$AK$15),(J248-30)*$AK$14),J248*$AK$13)+$AK$17*K248+L248*$AK$18)</f>
        <v>3598157.5525699998</v>
      </c>
      <c r="N248" s="221" t="s">
        <v>36</v>
      </c>
      <c r="O248" s="258">
        <f t="shared" si="44"/>
        <v>3598157.5525699998</v>
      </c>
      <c r="P248" s="258">
        <f t="shared" si="48"/>
        <v>2698618.1644274998</v>
      </c>
      <c r="Q248" s="258">
        <f t="shared" si="49"/>
        <v>4614146.5311899995</v>
      </c>
      <c r="R248" s="258">
        <f t="shared" si="50"/>
        <v>4114146.5311899995</v>
      </c>
      <c r="S248" s="258"/>
      <c r="T248" s="291"/>
      <c r="U248" s="264">
        <v>55</v>
      </c>
      <c r="V248" s="113"/>
      <c r="Z248" s="129" t="s">
        <v>268</v>
      </c>
      <c r="AA248" s="128">
        <v>60</v>
      </c>
      <c r="AB248" s="85">
        <v>5.81</v>
      </c>
      <c r="AC248" s="91"/>
      <c r="AE248" s="153"/>
      <c r="AF248" s="153"/>
      <c r="AL248" s="130"/>
    </row>
    <row r="249" spans="1:38" ht="16.5" customHeight="1" x14ac:dyDescent="0.25">
      <c r="A249" s="284" t="s">
        <v>160</v>
      </c>
      <c r="B249" s="285">
        <v>39</v>
      </c>
      <c r="C249" s="285">
        <v>61</v>
      </c>
      <c r="D249" s="285" t="s">
        <v>214</v>
      </c>
      <c r="E249" s="285" t="s">
        <v>247</v>
      </c>
      <c r="F249" s="285">
        <v>6</v>
      </c>
      <c r="G249" s="285">
        <v>182.78</v>
      </c>
      <c r="H249" s="93">
        <f t="shared" si="46"/>
        <v>145</v>
      </c>
      <c r="I249" s="285">
        <f t="shared" si="47"/>
        <v>177.113</v>
      </c>
      <c r="J249" s="290">
        <v>65.2</v>
      </c>
      <c r="K249" s="265">
        <f>AB244</f>
        <v>7.4</v>
      </c>
      <c r="L249" s="260">
        <v>1</v>
      </c>
      <c r="M249" s="258">
        <f>$K$6*(I249*$AK$12+IF(J249&gt;30,30*$AK$13+IF(J249&gt;60,30*$AK$14+IF(J249&gt;120,60*$AK$15,(J249-60)*$AK$15),(J249-30)*$AK$14),J249*$AK$13)+$AK$17*K249+L249*$AK$18)</f>
        <v>3565366.1024600002</v>
      </c>
      <c r="N249" s="221" t="s">
        <v>36</v>
      </c>
      <c r="O249" s="258">
        <f t="shared" si="44"/>
        <v>3565366.1024600002</v>
      </c>
      <c r="P249" s="258">
        <f t="shared" si="48"/>
        <v>2674024.576845</v>
      </c>
      <c r="Q249" s="258">
        <f t="shared" si="49"/>
        <v>4572095.9668199997</v>
      </c>
      <c r="R249" s="258">
        <f t="shared" si="50"/>
        <v>4072095.9668199997</v>
      </c>
      <c r="S249" s="258"/>
      <c r="T249" s="291"/>
      <c r="U249" s="264">
        <v>56</v>
      </c>
      <c r="V249" s="113"/>
      <c r="Z249" s="129" t="s">
        <v>269</v>
      </c>
      <c r="AA249" s="128">
        <v>61</v>
      </c>
      <c r="AB249" s="85">
        <v>5.71</v>
      </c>
      <c r="AC249" s="91"/>
      <c r="AE249" s="153"/>
      <c r="AF249" s="153"/>
      <c r="AL249" s="130"/>
    </row>
    <row r="250" spans="1:38" ht="16.5" customHeight="1" x14ac:dyDescent="0.25">
      <c r="A250" s="284" t="s">
        <v>160</v>
      </c>
      <c r="B250" s="285">
        <v>39</v>
      </c>
      <c r="C250" s="285">
        <v>62</v>
      </c>
      <c r="D250" s="285" t="s">
        <v>215</v>
      </c>
      <c r="E250" s="285" t="s">
        <v>247</v>
      </c>
      <c r="F250" s="285">
        <v>5</v>
      </c>
      <c r="G250" s="285">
        <v>155.24</v>
      </c>
      <c r="H250" s="92">
        <f t="shared" si="46"/>
        <v>125</v>
      </c>
      <c r="I250" s="285">
        <f t="shared" si="47"/>
        <v>150.70400000000001</v>
      </c>
      <c r="J250" s="290">
        <v>41.339999999999996</v>
      </c>
      <c r="K250" s="266">
        <f>AB245</f>
        <v>7.4</v>
      </c>
      <c r="L250" s="248">
        <v>1</v>
      </c>
      <c r="M250" s="258">
        <f>$K$6*(I250*$AK$12+IF(J250&gt;30,30*$AK$13+IF(J250&gt;60,30*$AK$14+IF(J250&gt;120,60*$AK$15,(J250-60)*$AK$15),(J250-30)*$AK$14),J250*$AK$13)+$AK$17*K250+L250*$AK$18)</f>
        <v>3010039.5894400002</v>
      </c>
      <c r="N250" s="221" t="s">
        <v>36</v>
      </c>
      <c r="O250" s="258">
        <f t="shared" si="44"/>
        <v>3010039.5894400002</v>
      </c>
      <c r="P250" s="258">
        <f t="shared" si="48"/>
        <v>2257529.6920800004</v>
      </c>
      <c r="Q250" s="258">
        <f t="shared" si="49"/>
        <v>3859965.4204799999</v>
      </c>
      <c r="R250" s="258">
        <f t="shared" si="50"/>
        <v>3359965.4204799999</v>
      </c>
      <c r="S250" s="258"/>
      <c r="T250" s="291"/>
      <c r="U250" s="264">
        <v>57</v>
      </c>
      <c r="V250" s="113"/>
      <c r="Z250" s="129" t="s">
        <v>270</v>
      </c>
      <c r="AA250" s="128">
        <v>62</v>
      </c>
      <c r="AB250" s="85">
        <v>5.77</v>
      </c>
      <c r="AC250" s="91"/>
      <c r="AE250" s="153"/>
      <c r="AF250" s="153"/>
      <c r="AL250" s="130"/>
    </row>
    <row r="251" spans="1:38" ht="16.5" customHeight="1" thickBot="1" x14ac:dyDescent="0.3">
      <c r="A251" s="284" t="s">
        <v>160</v>
      </c>
      <c r="B251" s="285">
        <v>39</v>
      </c>
      <c r="C251" s="285">
        <v>63</v>
      </c>
      <c r="D251" s="285" t="s">
        <v>245</v>
      </c>
      <c r="E251" s="285" t="s">
        <v>247</v>
      </c>
      <c r="F251" s="285">
        <v>6</v>
      </c>
      <c r="G251" s="285">
        <v>145.01</v>
      </c>
      <c r="H251" s="93">
        <f t="shared" si="46"/>
        <v>145</v>
      </c>
      <c r="I251" s="285">
        <f t="shared" si="47"/>
        <v>145.0085</v>
      </c>
      <c r="J251" s="290">
        <v>10.42</v>
      </c>
      <c r="K251" s="265">
        <f>AB218</f>
        <v>15.5</v>
      </c>
      <c r="L251" s="248">
        <v>1</v>
      </c>
      <c r="M251" s="258">
        <f>$K$6*(I251*$AK$12+IF(J251&gt;30,30*$AK$13+IF(J251&gt;60,30*$AK$14+IF(J251&gt;120,60*$AK$15,(J251-60)*$AK$15),(J251-30)*$AK$14),J251*$AK$13)+$AK$17*K251+L251*$AK$18)</f>
        <v>2803429.0027900003</v>
      </c>
      <c r="N251" s="221" t="s">
        <v>36</v>
      </c>
      <c r="O251" s="258">
        <f t="shared" si="44"/>
        <v>2803429.0027900003</v>
      </c>
      <c r="P251" s="258">
        <f t="shared" si="48"/>
        <v>2102571.7520925002</v>
      </c>
      <c r="Q251" s="258">
        <f t="shared" si="49"/>
        <v>3595015.5099300002</v>
      </c>
      <c r="R251" s="258">
        <f t="shared" si="50"/>
        <v>3095015.5099300002</v>
      </c>
      <c r="S251" s="258"/>
      <c r="T251" s="291"/>
      <c r="U251" s="264">
        <v>30</v>
      </c>
      <c r="V251" s="113"/>
      <c r="Z251" s="146" t="s">
        <v>264</v>
      </c>
      <c r="AA251" s="147">
        <v>63</v>
      </c>
      <c r="AB251" s="88">
        <v>10.84</v>
      </c>
      <c r="AC251" s="89"/>
      <c r="AE251" s="153"/>
      <c r="AF251" s="153"/>
      <c r="AL251" s="130"/>
    </row>
    <row r="252" spans="1:38" ht="16.5" customHeight="1" x14ac:dyDescent="0.25">
      <c r="A252" s="284" t="s">
        <v>160</v>
      </c>
      <c r="B252" s="285">
        <v>39</v>
      </c>
      <c r="C252" s="285">
        <v>64</v>
      </c>
      <c r="D252" s="285" t="s">
        <v>216</v>
      </c>
      <c r="E252" s="285" t="s">
        <v>247</v>
      </c>
      <c r="F252" s="285">
        <v>6</v>
      </c>
      <c r="G252" s="285">
        <v>145.01</v>
      </c>
      <c r="H252" s="93">
        <f t="shared" si="46"/>
        <v>145</v>
      </c>
      <c r="I252" s="285">
        <f t="shared" si="47"/>
        <v>145.0085</v>
      </c>
      <c r="J252" s="290">
        <v>10.42</v>
      </c>
      <c r="K252" s="265">
        <f>AB219</f>
        <v>13.4</v>
      </c>
      <c r="L252" s="248">
        <v>1</v>
      </c>
      <c r="M252" s="258">
        <f>$K$6*(I252*$AK$12+IF(J252&gt;30,30*$AK$13+IF(J252&gt;60,30*$AK$14+IF(J252&gt;120,60*$AK$15,(J252-60)*$AK$15),(J252-30)*$AK$14),J252*$AK$13)+$AK$17*K252+L252*$AK$18)</f>
        <v>2792018.5561900004</v>
      </c>
      <c r="N252" s="221" t="s">
        <v>36</v>
      </c>
      <c r="O252" s="258">
        <f t="shared" si="44"/>
        <v>2792018.5561900004</v>
      </c>
      <c r="P252" s="258">
        <f t="shared" si="48"/>
        <v>2094013.9171425002</v>
      </c>
      <c r="Q252" s="258">
        <f t="shared" si="49"/>
        <v>3580383.1677299999</v>
      </c>
      <c r="R252" s="258">
        <f t="shared" si="50"/>
        <v>3080383.1677299999</v>
      </c>
      <c r="S252" s="258"/>
      <c r="T252" s="291"/>
      <c r="U252" s="264">
        <v>31</v>
      </c>
      <c r="V252" s="113"/>
      <c r="X252" s="143"/>
      <c r="Y252" s="143"/>
      <c r="Z252" s="113"/>
      <c r="AA252" s="144"/>
      <c r="AC252" s="153"/>
      <c r="AD252" s="153"/>
      <c r="AL252" s="130"/>
    </row>
    <row r="253" spans="1:38" ht="16.5" customHeight="1" x14ac:dyDescent="0.25">
      <c r="A253" s="284" t="s">
        <v>160</v>
      </c>
      <c r="B253" s="285">
        <v>39</v>
      </c>
      <c r="C253" s="285">
        <v>65</v>
      </c>
      <c r="D253" s="285" t="s">
        <v>246</v>
      </c>
      <c r="E253" s="285" t="s">
        <v>247</v>
      </c>
      <c r="F253" s="285">
        <v>6</v>
      </c>
      <c r="G253" s="285">
        <v>145.01</v>
      </c>
      <c r="H253" s="93">
        <f t="shared" si="46"/>
        <v>145</v>
      </c>
      <c r="I253" s="285">
        <f t="shared" ref="I253:I254" si="51">IF(G253&gt;H253,(G253-H253)*$AL$12+H253,G253)</f>
        <v>145.0085</v>
      </c>
      <c r="J253" s="290">
        <v>10.42</v>
      </c>
      <c r="K253" s="266">
        <f>AB186</f>
        <v>17.62</v>
      </c>
      <c r="L253" s="260">
        <v>1</v>
      </c>
      <c r="M253" s="258">
        <f>$K$6*(I253*$AK$12+IF(J253&gt;30,30*$AK$13+IF(J253&gt;60,30*$AK$14+IF(J253&gt;120,60*$AK$15,(J253-60)*$AK$15),(J253-30)*$AK$14),J253*$AK$13)+$AK$17*K253+L253*$AK$18)</f>
        <v>2814948.1203100001</v>
      </c>
      <c r="N253" s="221" t="s">
        <v>36</v>
      </c>
      <c r="O253" s="258">
        <f t="shared" si="44"/>
        <v>2814948.1203100001</v>
      </c>
      <c r="P253" s="258">
        <f t="shared" ref="P253:P254" si="52">O253*(1-$AK$19)</f>
        <v>2111211.0902324999</v>
      </c>
      <c r="Q253" s="258">
        <f t="shared" si="49"/>
        <v>3609787.2077699997</v>
      </c>
      <c r="R253" s="258">
        <f t="shared" ref="R253:R254" si="53">Q253-$AK$20</f>
        <v>3109787.2077699997</v>
      </c>
      <c r="S253" s="258"/>
      <c r="T253" s="291"/>
      <c r="U253" s="300" t="s">
        <v>279</v>
      </c>
      <c r="V253" s="113"/>
      <c r="X253" s="143"/>
      <c r="Y253" s="143"/>
      <c r="Z253" s="113"/>
      <c r="AA253" s="144"/>
      <c r="AC253" s="153"/>
      <c r="AD253" s="153"/>
      <c r="AL253" s="130"/>
    </row>
    <row r="254" spans="1:38" ht="16.5" customHeight="1" thickBot="1" x14ac:dyDescent="0.3">
      <c r="A254" s="301" t="s">
        <v>160</v>
      </c>
      <c r="B254" s="302">
        <v>39</v>
      </c>
      <c r="C254" s="302">
        <v>66</v>
      </c>
      <c r="D254" s="302" t="s">
        <v>248</v>
      </c>
      <c r="E254" s="302" t="s">
        <v>247</v>
      </c>
      <c r="F254" s="302">
        <v>5</v>
      </c>
      <c r="G254" s="302">
        <v>162.28</v>
      </c>
      <c r="H254" s="303">
        <f t="shared" si="46"/>
        <v>125</v>
      </c>
      <c r="I254" s="302">
        <f t="shared" si="51"/>
        <v>156.68799999999999</v>
      </c>
      <c r="J254" s="304">
        <v>40.67</v>
      </c>
      <c r="K254" s="267">
        <f>AB251</f>
        <v>10.84</v>
      </c>
      <c r="L254" s="252">
        <v>1</v>
      </c>
      <c r="M254" s="261">
        <f>$K$6*(I254*$AK$12+IF(J254&gt;30,30*$AK$13+IF(J254&gt;60,30*$AK$14+IF(J254&gt;120,60*$AK$15,(J254-60)*$AK$15),(J254-30)*$AK$14),J254*$AK$13)+$AK$17*K254+L254*$AK$18)</f>
        <v>3134685.1346800001</v>
      </c>
      <c r="N254" s="251" t="s">
        <v>36</v>
      </c>
      <c r="O254" s="261">
        <f t="shared" ref="O254" si="54">M254</f>
        <v>3134685.1346800001</v>
      </c>
      <c r="P254" s="261">
        <f t="shared" si="52"/>
        <v>2351013.8510100003</v>
      </c>
      <c r="Q254" s="261">
        <f t="shared" si="49"/>
        <v>4019806.3395600002</v>
      </c>
      <c r="R254" s="261">
        <f t="shared" si="53"/>
        <v>3519806.3395600002</v>
      </c>
      <c r="S254" s="261"/>
      <c r="T254" s="305"/>
      <c r="U254" s="268">
        <v>63</v>
      </c>
      <c r="V254" s="113"/>
      <c r="X254" s="143"/>
      <c r="Y254" s="143"/>
      <c r="Z254" s="113"/>
      <c r="AA254" s="144"/>
      <c r="AC254" s="153"/>
      <c r="AD254" s="153"/>
      <c r="AL254" s="130"/>
    </row>
    <row r="255" spans="1:38" ht="16.5" customHeight="1" thickBot="1" x14ac:dyDescent="0.3">
      <c r="A255" s="231" t="s">
        <v>65</v>
      </c>
      <c r="B255" s="319"/>
      <c r="C255" s="319"/>
      <c r="D255" s="319"/>
      <c r="E255" s="319"/>
      <c r="F255" s="319"/>
      <c r="G255" s="174">
        <f>SUMIF(N189:N254,"כן",G189:G254)/COUNT(C189:C254)</f>
        <v>71.280303030303017</v>
      </c>
      <c r="H255" s="174"/>
      <c r="I255" s="174"/>
      <c r="J255" s="175"/>
      <c r="K255" s="227" t="s">
        <v>66</v>
      </c>
      <c r="L255" s="227"/>
      <c r="M255" s="227"/>
      <c r="N255" s="176">
        <f>COUNTIF(N189:N254,"כן")/COUNT(C189:C254)</f>
        <v>0.71212121212121215</v>
      </c>
      <c r="O255" s="177"/>
      <c r="P255" s="177"/>
      <c r="Q255" s="177">
        <f>SUM(Q15:Q254)</f>
        <v>653861772.58680022</v>
      </c>
      <c r="R255" s="177">
        <f>SUM(R15:R254)</f>
        <v>536861772.58679992</v>
      </c>
      <c r="S255" s="177">
        <f>SUM(S15:S254)</f>
        <v>364396429.46271998</v>
      </c>
      <c r="T255" s="175"/>
      <c r="U255" s="178"/>
      <c r="X255" s="145"/>
      <c r="Y255" s="145"/>
      <c r="Z255" s="145"/>
      <c r="AA255" s="145"/>
      <c r="AC255" s="153"/>
      <c r="AD255" s="153"/>
    </row>
    <row r="256" spans="1:38" ht="15.75" customHeight="1" thickBot="1" x14ac:dyDescent="0.3">
      <c r="K256" s="130"/>
      <c r="M256" s="177"/>
      <c r="Y256" s="113"/>
      <c r="Z256" s="113"/>
      <c r="AA256" s="113"/>
      <c r="AC256" s="153"/>
      <c r="AD256" s="153"/>
    </row>
    <row r="257" spans="1:30" ht="15.75" customHeight="1" x14ac:dyDescent="0.25">
      <c r="Z257" s="218"/>
      <c r="AC257" s="153"/>
      <c r="AD257" s="153"/>
    </row>
    <row r="258" spans="1:30" ht="15.75" customHeight="1" x14ac:dyDescent="0.25">
      <c r="A258" s="228" t="s">
        <v>217</v>
      </c>
      <c r="B258" s="229"/>
      <c r="C258" s="229"/>
      <c r="D258" s="229"/>
      <c r="E258" s="229"/>
      <c r="F258" s="230"/>
      <c r="G258" s="33">
        <f>SUMIF(N15:N254,"כן",G15:G254)</f>
        <v>18313.910000000003</v>
      </c>
      <c r="H258" s="201"/>
      <c r="I258" s="201"/>
      <c r="J258" s="9"/>
      <c r="K258" s="34" t="s">
        <v>218</v>
      </c>
      <c r="L258" s="35"/>
      <c r="M258" s="36"/>
      <c r="N258" s="33">
        <f>COUNTIF(N15:N254,"כן")</f>
        <v>188</v>
      </c>
      <c r="O258" s="37"/>
      <c r="P258" s="37"/>
      <c r="Q258" s="37"/>
      <c r="R258" s="37"/>
      <c r="S258" s="37"/>
      <c r="T258" s="38"/>
      <c r="Z258" s="130"/>
      <c r="AC258" s="153"/>
      <c r="AD258" s="153"/>
    </row>
    <row r="259" spans="1:30" ht="15.75" customHeight="1" x14ac:dyDescent="0.25">
      <c r="A259" s="228" t="s">
        <v>219</v>
      </c>
      <c r="B259" s="229"/>
      <c r="C259" s="229"/>
      <c r="D259" s="229"/>
      <c r="E259" s="229"/>
      <c r="F259" s="230"/>
      <c r="G259" s="39">
        <f>SUMIF(N15:N254,"כן",G15:G254)/(SUMIF(N15:N254,"כן",G15:G254)+SUMIF(N15:N254,"לא",G15:G254))</f>
        <v>0.72085660889499081</v>
      </c>
      <c r="H259" s="202"/>
      <c r="I259" s="202"/>
      <c r="J259" s="9"/>
      <c r="K259" s="34" t="s">
        <v>220</v>
      </c>
      <c r="L259" s="35"/>
      <c r="M259" s="36"/>
      <c r="N259" s="40">
        <f>COUNTIF(N15:N255,"כן")/COUNT(C15:C255)</f>
        <v>0.80341880341880345</v>
      </c>
      <c r="O259" s="41"/>
      <c r="P259" s="41"/>
      <c r="Q259" s="41"/>
      <c r="R259" s="41"/>
      <c r="S259" s="41"/>
      <c r="T259" s="38"/>
      <c r="AC259" s="153"/>
      <c r="AD259" s="153"/>
    </row>
    <row r="260" spans="1:30" ht="15.75" customHeight="1" x14ac:dyDescent="0.25">
      <c r="AC260" s="153"/>
      <c r="AD260" s="153"/>
    </row>
    <row r="261" spans="1:30" ht="15.75" customHeight="1" x14ac:dyDescent="0.25">
      <c r="A261" s="232"/>
      <c r="B261" s="225"/>
      <c r="C261" s="225"/>
      <c r="D261" s="225"/>
      <c r="E261" s="225"/>
      <c r="F261" s="225"/>
      <c r="G261" s="225"/>
      <c r="H261" s="225"/>
      <c r="I261" s="225"/>
      <c r="J261" s="225"/>
      <c r="K261" s="225"/>
      <c r="L261" s="225"/>
      <c r="M261" s="225"/>
      <c r="N261" s="225"/>
      <c r="O261" s="225"/>
      <c r="P261" s="225"/>
      <c r="Q261" s="225"/>
      <c r="R261" s="225"/>
      <c r="S261" s="225"/>
      <c r="T261" s="225"/>
      <c r="AC261" s="153"/>
      <c r="AD261" s="153"/>
    </row>
    <row r="262" spans="1:30" ht="15.75" customHeight="1" x14ac:dyDescent="0.25">
      <c r="A262" s="233"/>
      <c r="B262" s="225"/>
      <c r="C262" s="225"/>
      <c r="D262" s="225"/>
      <c r="E262" s="225"/>
      <c r="F262" s="225"/>
      <c r="G262" s="225"/>
      <c r="H262" s="225"/>
      <c r="I262" s="225"/>
      <c r="J262" s="225"/>
      <c r="K262" s="225"/>
      <c r="L262" s="225"/>
      <c r="M262" s="225"/>
      <c r="N262" s="225"/>
      <c r="O262" s="225"/>
      <c r="P262" s="225"/>
      <c r="Q262" s="225"/>
      <c r="R262" s="225"/>
      <c r="S262" s="225"/>
      <c r="T262" s="225"/>
      <c r="AC262" s="153"/>
      <c r="AD262" s="153"/>
    </row>
    <row r="263" spans="1:30" ht="15.75" customHeight="1" x14ac:dyDescent="0.25">
      <c r="C263" s="42"/>
      <c r="D263" s="42"/>
      <c r="E263" s="43"/>
      <c r="F263" s="43"/>
      <c r="G263" s="43"/>
      <c r="H263" s="43"/>
      <c r="I263" s="43"/>
      <c r="J263" s="43"/>
      <c r="K263" s="43"/>
      <c r="L263" s="43"/>
      <c r="M263" s="43"/>
      <c r="N263" s="43"/>
      <c r="O263" s="43"/>
      <c r="P263" s="43"/>
      <c r="Q263" s="43"/>
      <c r="R263" s="43"/>
      <c r="S263" s="43"/>
      <c r="T263" s="43"/>
      <c r="AC263" s="153"/>
      <c r="AD263" s="153"/>
    </row>
    <row r="264" spans="1:30" ht="15.75" customHeight="1" x14ac:dyDescent="0.25">
      <c r="A264" s="224"/>
      <c r="B264" s="225"/>
      <c r="C264" s="225"/>
      <c r="D264" s="225"/>
      <c r="E264" s="225"/>
      <c r="F264" s="225"/>
      <c r="G264" s="225"/>
      <c r="H264" s="225"/>
      <c r="I264" s="225"/>
      <c r="J264" s="225"/>
      <c r="K264" s="225"/>
      <c r="L264" s="225"/>
      <c r="M264" s="225"/>
      <c r="N264" s="225"/>
      <c r="O264" s="225"/>
      <c r="P264" s="225"/>
      <c r="Q264" s="225"/>
      <c r="R264" s="225"/>
      <c r="S264" s="225"/>
      <c r="T264" s="225"/>
    </row>
    <row r="265" spans="1:30" ht="15.75" customHeight="1" x14ac:dyDescent="0.25">
      <c r="A265" s="226"/>
      <c r="B265" s="225"/>
      <c r="C265" s="225"/>
      <c r="D265" s="225"/>
      <c r="E265" s="225"/>
      <c r="F265" s="225"/>
      <c r="G265" s="225"/>
      <c r="H265" s="225"/>
      <c r="I265" s="225"/>
      <c r="J265" s="225"/>
      <c r="K265" s="225"/>
      <c r="L265" s="225"/>
      <c r="M265" s="225"/>
      <c r="N265" s="225"/>
      <c r="O265" s="225"/>
      <c r="P265" s="225"/>
      <c r="Q265" s="225"/>
      <c r="R265" s="225"/>
      <c r="S265" s="225"/>
      <c r="T265" s="225"/>
    </row>
  </sheetData>
  <mergeCells count="32">
    <mergeCell ref="K130:M130"/>
    <mergeCell ref="A130:F130"/>
    <mergeCell ref="K101:M101"/>
    <mergeCell ref="A101:F101"/>
    <mergeCell ref="K72:M72"/>
    <mergeCell ref="A72:F72"/>
    <mergeCell ref="K43:M43"/>
    <mergeCell ref="A43:F43"/>
    <mergeCell ref="F6:J6"/>
    <mergeCell ref="K6:M6"/>
    <mergeCell ref="B8:C8"/>
    <mergeCell ref="B2:C2"/>
    <mergeCell ref="B3:C3"/>
    <mergeCell ref="B7:C7"/>
    <mergeCell ref="AJ11:AK11"/>
    <mergeCell ref="A1:T1"/>
    <mergeCell ref="G2:M2"/>
    <mergeCell ref="B4:C4"/>
    <mergeCell ref="B5:C5"/>
    <mergeCell ref="B6:C6"/>
    <mergeCell ref="A159:F159"/>
    <mergeCell ref="A264:T264"/>
    <mergeCell ref="A265:T265"/>
    <mergeCell ref="K159:M159"/>
    <mergeCell ref="K188:M188"/>
    <mergeCell ref="K255:M255"/>
    <mergeCell ref="A258:F258"/>
    <mergeCell ref="A188:F188"/>
    <mergeCell ref="A259:F259"/>
    <mergeCell ref="A255:F255"/>
    <mergeCell ref="A261:T261"/>
    <mergeCell ref="A262:T262"/>
  </mergeCells>
  <phoneticPr fontId="23" type="noConversion"/>
  <conditionalFormatting sqref="T1:T3 T5:T9 T11:T265 K6">
    <cfRule type="containsText" dxfId="3" priority="1" operator="containsText" text="גדול">
      <formula>NOT(ISERROR(SEARCH(("גדול"),(K1))))</formula>
    </cfRule>
    <cfRule type="containsText" dxfId="2" priority="2" operator="containsText" text="קטן מהמינימום הנדרש במכרז">
      <formula>NOT(ISERROR(SEARCH(("קטן מהמינימום הנדרש במכרז"),(K1))))</formula>
    </cfRule>
  </conditionalFormatting>
  <pageMargins left="0.23622047244094491" right="0.23622047244094491" top="0.74803149606299213" bottom="0.74803149606299213" header="0" footer="0"/>
  <pageSetup paperSize="9" scale="48" fitToHeight="0" orientation="portrait" r:id="rId1"/>
  <ignoredErrors>
    <ignoredError sqref="K95:K99 K174 K162 K19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2:F1000"/>
  <sheetViews>
    <sheetView rightToLeft="1" topLeftCell="A6" workbookViewId="0">
      <selection activeCell="E14" sqref="E14"/>
    </sheetView>
  </sheetViews>
  <sheetFormatPr defaultColWidth="14.42578125" defaultRowHeight="15" customHeight="1" x14ac:dyDescent="0.25"/>
  <cols>
    <col min="1" max="3" width="8.7109375" customWidth="1"/>
    <col min="4" max="4" width="22.140625" customWidth="1"/>
    <col min="5" max="5" width="40.7109375" customWidth="1"/>
    <col min="6" max="6" width="94" customWidth="1"/>
    <col min="7" max="26" width="8.7109375" customWidth="1"/>
  </cols>
  <sheetData>
    <row r="2" spans="4:6" ht="23.25" x14ac:dyDescent="0.35">
      <c r="D2" s="238" t="s">
        <v>221</v>
      </c>
      <c r="E2" s="225"/>
      <c r="F2" s="225"/>
    </row>
    <row r="4" spans="4:6" ht="21" x14ac:dyDescent="0.35">
      <c r="D4" s="44" t="s">
        <v>222</v>
      </c>
      <c r="E4" s="44" t="s">
        <v>223</v>
      </c>
      <c r="F4" s="44" t="s">
        <v>224</v>
      </c>
    </row>
    <row r="5" spans="4:6" ht="129.75" customHeight="1" x14ac:dyDescent="0.25">
      <c r="D5" s="45" t="s">
        <v>225</v>
      </c>
      <c r="E5" s="46" t="s">
        <v>226</v>
      </c>
      <c r="F5" s="47" t="s">
        <v>227</v>
      </c>
    </row>
    <row r="6" spans="4:6" ht="141.75" x14ac:dyDescent="0.25">
      <c r="D6" s="45" t="s">
        <v>228</v>
      </c>
      <c r="E6" s="46" t="s">
        <v>26</v>
      </c>
      <c r="F6" s="47" t="s">
        <v>229</v>
      </c>
    </row>
    <row r="7" spans="4:6" ht="152.25" customHeight="1" x14ac:dyDescent="0.25">
      <c r="D7" s="48" t="s">
        <v>230</v>
      </c>
      <c r="E7" s="49" t="s">
        <v>27</v>
      </c>
      <c r="F7" s="50" t="s">
        <v>231</v>
      </c>
    </row>
    <row r="8" spans="4:6" ht="176.25" customHeight="1" x14ac:dyDescent="0.25">
      <c r="D8" s="45" t="s">
        <v>232</v>
      </c>
      <c r="E8" s="51" t="s">
        <v>233</v>
      </c>
      <c r="F8" s="52" t="s">
        <v>234</v>
      </c>
    </row>
    <row r="20" spans="4:6" x14ac:dyDescent="0.25">
      <c r="D20" s="53"/>
      <c r="E20" s="53"/>
      <c r="F20" s="53"/>
    </row>
    <row r="21" spans="4:6" ht="15.75" customHeight="1" x14ac:dyDescent="0.25">
      <c r="D21" s="53"/>
      <c r="E21" s="53"/>
      <c r="F21" s="53"/>
    </row>
    <row r="22" spans="4:6" ht="15.75" customHeight="1" x14ac:dyDescent="0.25">
      <c r="D22" s="53"/>
      <c r="E22" s="53"/>
      <c r="F22" s="53"/>
    </row>
    <row r="23" spans="4:6" ht="15.75" customHeight="1" x14ac:dyDescent="0.25">
      <c r="D23" s="53"/>
      <c r="E23" s="53"/>
      <c r="F23" s="53"/>
    </row>
    <row r="24" spans="4:6" ht="15.75" customHeight="1" x14ac:dyDescent="0.25">
      <c r="D24" s="53"/>
      <c r="E24" s="53"/>
      <c r="F24" s="53"/>
    </row>
    <row r="25" spans="4:6" ht="15.75" customHeight="1" x14ac:dyDescent="0.25"/>
    <row r="26" spans="4:6" ht="15.75" customHeight="1" x14ac:dyDescent="0.25"/>
    <row r="27" spans="4:6" ht="15.75" customHeight="1" x14ac:dyDescent="0.25"/>
    <row r="28" spans="4:6" ht="15.75" customHeight="1" x14ac:dyDescent="0.25"/>
    <row r="29" spans="4:6" ht="15.75" customHeight="1" x14ac:dyDescent="0.25"/>
    <row r="30" spans="4:6" ht="15.75" customHeight="1" x14ac:dyDescent="0.25"/>
    <row r="31" spans="4:6" ht="15.75" customHeight="1" x14ac:dyDescent="0.25"/>
    <row r="32" spans="4: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D2:F2"/>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K1001"/>
  <sheetViews>
    <sheetView rightToLeft="1" zoomScaleNormal="100" workbookViewId="0">
      <selection activeCell="B34" sqref="B34"/>
    </sheetView>
  </sheetViews>
  <sheetFormatPr defaultColWidth="14.42578125" defaultRowHeight="15" customHeight="1" x14ac:dyDescent="0.25"/>
  <cols>
    <col min="1" max="1" width="9.7109375" customWidth="1"/>
    <col min="2" max="2" width="12" customWidth="1"/>
    <col min="3" max="3" width="7.7109375" customWidth="1"/>
    <col min="4" max="4" width="13.5703125" customWidth="1"/>
    <col min="5" max="5" width="15.140625" customWidth="1"/>
    <col min="6" max="6" width="9.85546875" customWidth="1"/>
    <col min="7" max="7" width="20.85546875" customWidth="1"/>
    <col min="8" max="8" width="13.42578125" customWidth="1"/>
    <col min="9" max="9" width="17.42578125" customWidth="1"/>
    <col min="10" max="10" width="13.42578125" customWidth="1"/>
    <col min="11" max="11" width="25" customWidth="1"/>
    <col min="12" max="26" width="8.7109375" customWidth="1"/>
  </cols>
  <sheetData>
    <row r="4" spans="1:11" ht="18.75" x14ac:dyDescent="0.3">
      <c r="G4" s="239" t="e">
        <f ca="1">_xludf.CONCAT("מתחם"," ",'[2]מחיר למשתכן'!B4)</f>
        <v>#NAME?</v>
      </c>
      <c r="H4" s="237"/>
    </row>
    <row r="8" spans="1:11" ht="30" x14ac:dyDescent="0.25">
      <c r="A8" s="54" t="s">
        <v>235</v>
      </c>
      <c r="B8" s="55" t="s">
        <v>236</v>
      </c>
      <c r="C8" s="55"/>
      <c r="D8" s="56" t="s">
        <v>237</v>
      </c>
      <c r="E8" s="56" t="s">
        <v>238</v>
      </c>
      <c r="F8" s="56" t="s">
        <v>239</v>
      </c>
      <c r="G8" s="57" t="s">
        <v>240</v>
      </c>
      <c r="H8" s="58" t="s">
        <v>241</v>
      </c>
      <c r="I8" s="59" t="s">
        <v>242</v>
      </c>
      <c r="J8" s="59" t="s">
        <v>243</v>
      </c>
      <c r="K8" s="60" t="s">
        <v>28</v>
      </c>
    </row>
    <row r="9" spans="1:11" x14ac:dyDescent="0.25">
      <c r="A9" s="30">
        <v>1</v>
      </c>
      <c r="B9" s="61">
        <f t="shared" ref="B9:B15" si="0">F9/$H$23</f>
        <v>0.54503105590062106</v>
      </c>
      <c r="C9" s="61" t="e">
        <f>G9/I23</f>
        <v>#DIV/0!</v>
      </c>
      <c r="D9" s="61">
        <f t="shared" ref="D9:D15" si="1">$H$23*0.75</f>
        <v>0.14743589743589744</v>
      </c>
      <c r="E9" s="61">
        <f t="shared" ref="E9:E15" si="2">$H$23*1.25</f>
        <v>0.24572649572649571</v>
      </c>
      <c r="F9" s="61">
        <f t="shared" ref="F9:F15" si="3">I9/J9</f>
        <v>0.10714285714285714</v>
      </c>
      <c r="G9" s="61">
        <f t="shared" ref="G9:G15" si="4">H9/J9</f>
        <v>0.8928571428571429</v>
      </c>
      <c r="H9" s="62">
        <v>25</v>
      </c>
      <c r="I9" s="62">
        <v>3</v>
      </c>
      <c r="J9" s="31">
        <f t="shared" ref="J9:J15" si="5">H9+I9</f>
        <v>28</v>
      </c>
      <c r="K9" s="63" t="str">
        <f t="shared" ref="K9:K15" si="6">IF(F9/$H$23&gt;1.25,"יחס דירות גדול מהמותר במכרז",IF(F9/$H$23&lt;0.75,"יחס דירות קטן מהמותר במכרז","יחס דירות תקין"))</f>
        <v>יחס דירות קטן מהמותר במכרז</v>
      </c>
    </row>
    <row r="10" spans="1:11" x14ac:dyDescent="0.25">
      <c r="A10" s="22">
        <v>2</v>
      </c>
      <c r="B10" s="64">
        <f t="shared" si="0"/>
        <v>0.54503105590062106</v>
      </c>
      <c r="C10" s="20"/>
      <c r="D10" s="64">
        <f t="shared" si="1"/>
        <v>0.14743589743589744</v>
      </c>
      <c r="E10" s="64">
        <f t="shared" si="2"/>
        <v>0.24572649572649571</v>
      </c>
      <c r="F10" s="64">
        <f t="shared" si="3"/>
        <v>0.10714285714285714</v>
      </c>
      <c r="G10" s="64">
        <f t="shared" si="4"/>
        <v>0.8928571428571429</v>
      </c>
      <c r="H10" s="65">
        <v>25</v>
      </c>
      <c r="I10" s="65">
        <v>3</v>
      </c>
      <c r="J10" s="23">
        <f t="shared" si="5"/>
        <v>28</v>
      </c>
      <c r="K10" s="66" t="str">
        <f t="shared" si="6"/>
        <v>יחס דירות קטן מהמותר במכרז</v>
      </c>
    </row>
    <row r="11" spans="1:11" x14ac:dyDescent="0.25">
      <c r="A11" s="22">
        <v>3</v>
      </c>
      <c r="B11" s="64">
        <f t="shared" si="0"/>
        <v>0.54503105590062106</v>
      </c>
      <c r="C11" s="20"/>
      <c r="D11" s="64">
        <f t="shared" si="1"/>
        <v>0.14743589743589744</v>
      </c>
      <c r="E11" s="64">
        <f t="shared" si="2"/>
        <v>0.24572649572649571</v>
      </c>
      <c r="F11" s="64">
        <f t="shared" si="3"/>
        <v>0.10714285714285714</v>
      </c>
      <c r="G11" s="64">
        <f t="shared" si="4"/>
        <v>0.8928571428571429</v>
      </c>
      <c r="H11" s="65">
        <v>25</v>
      </c>
      <c r="I11" s="65">
        <v>3</v>
      </c>
      <c r="J11" s="23">
        <f t="shared" si="5"/>
        <v>28</v>
      </c>
      <c r="K11" s="66" t="str">
        <f t="shared" si="6"/>
        <v>יחס דירות קטן מהמותר במכרז</v>
      </c>
    </row>
    <row r="12" spans="1:11" x14ac:dyDescent="0.25">
      <c r="A12" s="22">
        <v>4</v>
      </c>
      <c r="B12" s="64">
        <f t="shared" si="0"/>
        <v>1.2717391304347827</v>
      </c>
      <c r="C12" s="20"/>
      <c r="D12" s="64">
        <f t="shared" si="1"/>
        <v>0.14743589743589744</v>
      </c>
      <c r="E12" s="64">
        <f t="shared" si="2"/>
        <v>0.24572649572649571</v>
      </c>
      <c r="F12" s="64">
        <f t="shared" si="3"/>
        <v>0.25</v>
      </c>
      <c r="G12" s="64">
        <f t="shared" si="4"/>
        <v>0.75</v>
      </c>
      <c r="H12" s="65">
        <v>21</v>
      </c>
      <c r="I12" s="65">
        <v>7</v>
      </c>
      <c r="J12" s="23">
        <f t="shared" si="5"/>
        <v>28</v>
      </c>
      <c r="K12" s="66" t="str">
        <f t="shared" si="6"/>
        <v>יחס דירות גדול מהמותר במכרז</v>
      </c>
    </row>
    <row r="13" spans="1:11" x14ac:dyDescent="0.25">
      <c r="A13" s="22">
        <v>5</v>
      </c>
      <c r="B13" s="64">
        <f t="shared" si="0"/>
        <v>1.2717391304347827</v>
      </c>
      <c r="C13" s="20"/>
      <c r="D13" s="64">
        <f t="shared" si="1"/>
        <v>0.14743589743589744</v>
      </c>
      <c r="E13" s="64">
        <f t="shared" si="2"/>
        <v>0.24572649572649571</v>
      </c>
      <c r="F13" s="64">
        <f t="shared" si="3"/>
        <v>0.25</v>
      </c>
      <c r="G13" s="64">
        <f t="shared" si="4"/>
        <v>0.75</v>
      </c>
      <c r="H13" s="65">
        <v>21</v>
      </c>
      <c r="I13" s="65">
        <v>7</v>
      </c>
      <c r="J13" s="23">
        <f t="shared" si="5"/>
        <v>28</v>
      </c>
      <c r="K13" s="66" t="str">
        <f t="shared" si="6"/>
        <v>יחס דירות גדול מהמותר במכרז</v>
      </c>
    </row>
    <row r="14" spans="1:11" x14ac:dyDescent="0.25">
      <c r="A14" s="22">
        <v>6</v>
      </c>
      <c r="B14" s="64">
        <f t="shared" si="0"/>
        <v>1.4534161490683228</v>
      </c>
      <c r="C14" s="20"/>
      <c r="D14" s="64">
        <f t="shared" si="1"/>
        <v>0.14743589743589744</v>
      </c>
      <c r="E14" s="64">
        <f t="shared" si="2"/>
        <v>0.24572649572649571</v>
      </c>
      <c r="F14" s="64">
        <f t="shared" si="3"/>
        <v>0.2857142857142857</v>
      </c>
      <c r="G14" s="64">
        <f t="shared" si="4"/>
        <v>0.7142857142857143</v>
      </c>
      <c r="H14" s="65">
        <v>20</v>
      </c>
      <c r="I14" s="65">
        <v>8</v>
      </c>
      <c r="J14" s="23">
        <f t="shared" si="5"/>
        <v>28</v>
      </c>
      <c r="K14" s="66" t="str">
        <f t="shared" si="6"/>
        <v>יחס דירות גדול מהמותר במכרז</v>
      </c>
    </row>
    <row r="15" spans="1:11" x14ac:dyDescent="0.25">
      <c r="A15" s="27">
        <v>7</v>
      </c>
      <c r="B15" s="67">
        <f t="shared" si="0"/>
        <v>1.1561264822134387</v>
      </c>
      <c r="C15" s="68"/>
      <c r="D15" s="67">
        <f t="shared" si="1"/>
        <v>0.14743589743589744</v>
      </c>
      <c r="E15" s="67">
        <f t="shared" si="2"/>
        <v>0.24572649572649571</v>
      </c>
      <c r="F15" s="67">
        <f t="shared" si="3"/>
        <v>0.22727272727272727</v>
      </c>
      <c r="G15" s="67">
        <f t="shared" si="4"/>
        <v>0.77272727272727271</v>
      </c>
      <c r="H15" s="69">
        <v>51</v>
      </c>
      <c r="I15" s="69">
        <v>15</v>
      </c>
      <c r="J15" s="28">
        <f t="shared" si="5"/>
        <v>66</v>
      </c>
      <c r="K15" s="70" t="str">
        <f t="shared" si="6"/>
        <v>יחס דירות תקין</v>
      </c>
    </row>
    <row r="16" spans="1:11" ht="18.75" x14ac:dyDescent="0.3">
      <c r="A16" s="6"/>
      <c r="B16" s="6"/>
      <c r="C16" s="6"/>
      <c r="D16" s="6"/>
      <c r="E16" s="6"/>
      <c r="F16" s="6"/>
      <c r="G16" s="71" t="s">
        <v>1</v>
      </c>
      <c r="H16" s="72">
        <f t="shared" ref="H16:J16" si="7">SUM(H9:H15)</f>
        <v>188</v>
      </c>
      <c r="I16" s="73">
        <f t="shared" si="7"/>
        <v>46</v>
      </c>
      <c r="J16" s="73">
        <f t="shared" si="7"/>
        <v>234</v>
      </c>
      <c r="K16" s="6"/>
    </row>
    <row r="22" spans="4:8" ht="15.75" customHeight="1" x14ac:dyDescent="0.25"/>
    <row r="23" spans="4:8" ht="15.75" customHeight="1" x14ac:dyDescent="0.25">
      <c r="G23" s="74" t="s">
        <v>244</v>
      </c>
      <c r="H23" s="75">
        <f>I16/J16</f>
        <v>0.19658119658119658</v>
      </c>
    </row>
    <row r="24" spans="4:8" ht="15.75" customHeight="1" x14ac:dyDescent="0.25"/>
    <row r="25" spans="4:8" ht="15.75" customHeight="1" x14ac:dyDescent="0.25"/>
    <row r="26" spans="4:8" ht="15.75" customHeight="1" x14ac:dyDescent="0.25"/>
    <row r="27" spans="4:8" ht="15.75" customHeight="1" x14ac:dyDescent="0.25"/>
    <row r="28" spans="4:8" ht="15.75" customHeight="1" x14ac:dyDescent="0.25"/>
    <row r="29" spans="4:8" ht="15.75" customHeight="1" x14ac:dyDescent="0.25">
      <c r="D29" s="5"/>
    </row>
    <row r="30" spans="4:8" ht="15.75" customHeight="1" x14ac:dyDescent="0.25"/>
    <row r="31" spans="4:8" ht="15.75" customHeight="1" x14ac:dyDescent="0.25"/>
    <row r="32" spans="4:8"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1">
    <mergeCell ref="G4:H4"/>
  </mergeCells>
  <conditionalFormatting sqref="B9:B15">
    <cfRule type="cellIs" dxfId="1" priority="1" operator="lessThan">
      <formula>0.75</formula>
    </cfRule>
    <cfRule type="cellIs" dxfId="0" priority="2" operator="greaterThan">
      <formula>1.25</formula>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4</vt:i4>
      </vt:variant>
    </vt:vector>
  </HeadingPairs>
  <TitlesOfParts>
    <vt:vector size="7" baseType="lpstr">
      <vt:lpstr>מחיר מטרה</vt:lpstr>
      <vt:lpstr>הנחיות למילוי נספח ג4</vt:lpstr>
      <vt:lpstr>יחס יח"ד בבניניים</vt:lpstr>
      <vt:lpstr>'הנחיות למילוי נספח ג4'!_Hlk87367373</vt:lpstr>
      <vt:lpstr>'הנחיות למילוי נספח ג4'!_Hlk88045932</vt:lpstr>
      <vt:lpstr>'הנחיות למילוי נספח ג4'!_Hlk88045951</vt:lpstr>
      <vt:lpstr>'מחיר מטרה'!WPrint_Area_W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ארד</dc:creator>
  <cp:lastModifiedBy>Shani Taka</cp:lastModifiedBy>
  <cp:lastPrinted>2026-01-12T09:23:25Z</cp:lastPrinted>
  <dcterms:created xsi:type="dcterms:W3CDTF">2014-07-23T12:03:49Z</dcterms:created>
  <dcterms:modified xsi:type="dcterms:W3CDTF">2026-01-12T09:23:56Z</dcterms:modified>
</cp:coreProperties>
</file>